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eahhousingportal.sharepoint.com/sites/1462_GREENFIELDCOMMONSII/Shared Documents/RED/ACTIVE PROJECTS/Finance/State Government/_2026 TCAC-CDLAC (GFC2)/2026 ROUND 2/DRAFT - Ready for Review/"/>
    </mc:Choice>
  </mc:AlternateContent>
  <xr:revisionPtr revIDLastSave="36" documentId="13_ncr:1_{59F89DAF-B715-46ED-A697-EC49993EB888}" xr6:coauthVersionLast="47" xr6:coauthVersionMax="47" xr10:uidLastSave="{22C09A99-D902-4E87-9C6F-62E9C0CCE6F6}"/>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34080" windowHeight="2208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 r:id="rId17"/>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6" i="3" l="1"/>
  <c r="B842" i="19" l="1"/>
  <c r="F11" i="8"/>
  <c r="F15" i="8"/>
  <c r="F4" i="8"/>
  <c r="S53" i="4" l="1"/>
  <c r="S65" i="4"/>
  <c r="S50" i="4"/>
  <c r="S13" i="4"/>
  <c r="AO639" i="3"/>
  <c r="J53" i="4" s="1"/>
  <c r="C93" i="4"/>
  <c r="C92" i="4"/>
  <c r="C90" i="4"/>
  <c r="C89" i="4"/>
  <c r="C88" i="4"/>
  <c r="C87" i="4"/>
  <c r="C86" i="4"/>
  <c r="C85" i="4"/>
  <c r="C84" i="4"/>
  <c r="C80" i="4"/>
  <c r="C79" i="4"/>
  <c r="C76" i="4"/>
  <c r="C69" i="4"/>
  <c r="C65" i="4"/>
  <c r="C61" i="4"/>
  <c r="C58" i="4"/>
  <c r="C53" i="4"/>
  <c r="C52" i="4"/>
  <c r="C51" i="4"/>
  <c r="C50" i="4"/>
  <c r="C43" i="4"/>
  <c r="C40" i="4"/>
  <c r="C36" i="4"/>
  <c r="C35" i="4"/>
  <c r="C32" i="4"/>
  <c r="C33" i="4" s="1"/>
  <c r="C31" i="4"/>
  <c r="C30" i="4"/>
  <c r="C29" i="4"/>
  <c r="C13" i="4"/>
  <c r="C6" i="4"/>
  <c r="C4" i="4"/>
  <c r="AF637" i="3"/>
  <c r="E42" i="7" s="1"/>
  <c r="AF636" i="3"/>
  <c r="E41" i="7" s="1"/>
  <c r="AO640" i="3"/>
  <c r="K30" i="4" s="1"/>
  <c r="AO637" i="3"/>
  <c r="AA949" i="3" s="1"/>
  <c r="G30" i="4"/>
  <c r="W635" i="3"/>
  <c r="T635" i="3"/>
  <c r="AM566" i="3"/>
  <c r="AM565" i="3"/>
  <c r="AM564" i="3"/>
  <c r="Q564" i="3"/>
  <c r="W563" i="3"/>
  <c r="W562" i="3"/>
  <c r="AG452" i="3"/>
  <c r="Q636" i="3"/>
  <c r="C636" i="3"/>
  <c r="Q635" i="3"/>
  <c r="W243" i="3"/>
  <c r="AC243" i="3"/>
  <c r="Z245" i="3"/>
  <c r="Z256" i="3"/>
  <c r="AF260" i="3"/>
  <c r="Z264" i="3"/>
  <c r="AA266" i="3"/>
  <c r="AF268" i="3"/>
  <c r="Z272" i="3"/>
  <c r="AA274" i="3"/>
  <c r="D279" i="3"/>
  <c r="X279" i="3"/>
  <c r="Y287" i="3"/>
  <c r="L289" i="3"/>
  <c r="O155" i="3"/>
  <c r="W159" i="3"/>
  <c r="H30" i="4" l="1"/>
  <c r="AA956" i="3"/>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4" i="8"/>
  <c r="I14" i="8"/>
  <c r="J13" i="8"/>
  <c r="I13" i="8"/>
  <c r="J12" i="8"/>
  <c r="I12" i="8"/>
  <c r="J10" i="8"/>
  <c r="I10" i="8"/>
  <c r="J9" i="8"/>
  <c r="I9" i="8"/>
  <c r="J8" i="8"/>
  <c r="I8" i="8"/>
  <c r="J6" i="8"/>
  <c r="I6" i="8"/>
  <c r="J5" i="8"/>
  <c r="I5" i="8"/>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E66" i="4" s="1"/>
  <c r="R66" i="4" s="1"/>
  <c r="B67" i="4"/>
  <c r="E67" i="4" s="1"/>
  <c r="R67" i="4" s="1"/>
  <c r="B68" i="4"/>
  <c r="E68" i="4" s="1"/>
  <c r="R68" i="4" s="1"/>
  <c r="B69" i="4"/>
  <c r="E69" i="4" s="1"/>
  <c r="R69" i="4" s="1"/>
  <c r="S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65" i="13"/>
  <c r="E53" i="13"/>
  <c r="E50"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A5" i="8"/>
  <c r="D5" i="8"/>
  <c r="A6" i="8"/>
  <c r="D6" i="8"/>
  <c r="A7" i="8"/>
  <c r="D7" i="8"/>
  <c r="I7" i="8" s="1"/>
  <c r="A8" i="8"/>
  <c r="D8" i="8"/>
  <c r="A9" i="8"/>
  <c r="D9" i="8"/>
  <c r="A10" i="8"/>
  <c r="D10" i="8"/>
  <c r="A11" i="8"/>
  <c r="D11" i="8"/>
  <c r="I11" i="8" s="1"/>
  <c r="A12" i="8"/>
  <c r="D12" i="8"/>
  <c r="A13" i="8"/>
  <c r="D13" i="8"/>
  <c r="A14" i="8"/>
  <c r="D14" i="8"/>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E13" i="4" s="1"/>
  <c r="R13" i="4" s="1"/>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K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B51" i="4"/>
  <c r="E51" i="4" s="1"/>
  <c r="R51" i="4" s="1"/>
  <c r="S51" i="4" s="1"/>
  <c r="E51" i="13" s="1"/>
  <c r="B52" i="4"/>
  <c r="E52" i="4" s="1"/>
  <c r="R52" i="4" s="1"/>
  <c r="S52" i="4" s="1"/>
  <c r="E52" i="13" s="1"/>
  <c r="B53" i="4"/>
  <c r="E53" i="4" s="1"/>
  <c r="R53" i="4"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s="1"/>
  <c r="B76" i="4"/>
  <c r="E76" i="4" s="1"/>
  <c r="R76" i="4" s="1"/>
  <c r="F77" i="4"/>
  <c r="G77" i="4"/>
  <c r="H77" i="4"/>
  <c r="I77" i="4"/>
  <c r="K77" i="4"/>
  <c r="L77" i="4"/>
  <c r="Q77" i="4"/>
  <c r="B79" i="4"/>
  <c r="E79" i="4" s="1"/>
  <c r="B84" i="4"/>
  <c r="E84" i="4" s="1"/>
  <c r="R84" i="4" s="1"/>
  <c r="S84" i="4" s="1"/>
  <c r="E84" i="13" s="1"/>
  <c r="B85" i="4"/>
  <c r="E85" i="4" s="1"/>
  <c r="R85" i="4" s="1"/>
  <c r="S85" i="4"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K104" i="4"/>
  <c r="L104" i="4"/>
  <c r="Q104" i="4"/>
  <c r="G108" i="4"/>
  <c r="H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X740" i="3"/>
  <c r="X741" i="3"/>
  <c r="X742" i="3"/>
  <c r="X743" i="3"/>
  <c r="X744" i="3"/>
  <c r="X745" i="3"/>
  <c r="X746" i="3"/>
  <c r="X747" i="3"/>
  <c r="X748" i="3"/>
  <c r="X749" i="3"/>
  <c r="M840" i="3"/>
  <c r="Q840" i="3"/>
  <c r="U840" i="3"/>
  <c r="Y840" i="3"/>
  <c r="AC840" i="3"/>
  <c r="AG840" i="3"/>
  <c r="Z911" i="3"/>
  <c r="J4" i="8" l="1"/>
  <c r="S70" i="4"/>
  <c r="E70" i="13" s="1"/>
  <c r="E69" i="13"/>
  <c r="S96" i="4"/>
  <c r="E96" i="13" s="1"/>
  <c r="J15" i="8"/>
  <c r="J11" i="8"/>
  <c r="E85" i="13"/>
  <c r="R79" i="4"/>
  <c r="E81" i="4"/>
  <c r="R65" i="4"/>
  <c r="R70" i="4" s="1"/>
  <c r="E70" i="4"/>
  <c r="R72" i="4"/>
  <c r="E42" i="4"/>
  <c r="R40" i="4"/>
  <c r="R29" i="4"/>
  <c r="S29" i="4" s="1"/>
  <c r="E29" i="13" s="1"/>
  <c r="BE23" i="3"/>
  <c r="E4" i="4"/>
  <c r="AD209" i="20"/>
  <c r="E15" i="4"/>
  <c r="R15"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2" i="4"/>
  <c r="B12" i="13" s="1"/>
  <c r="D75" i="11"/>
  <c r="D62"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B81" i="4"/>
  <c r="R11" i="4"/>
  <c r="G58" i="7"/>
  <c r="I63" i="4"/>
  <c r="I97" i="4" s="1"/>
  <c r="L63" i="4"/>
  <c r="L97" i="4" s="1"/>
  <c r="L105" i="4" s="1"/>
  <c r="D52" i="11"/>
  <c r="D44" i="11"/>
  <c r="D18" i="11"/>
  <c r="C12" i="11"/>
  <c r="J63" i="4"/>
  <c r="J97" i="4" s="1"/>
  <c r="J105" i="4" s="1"/>
  <c r="Q63" i="4"/>
  <c r="Q97" i="4" s="1"/>
  <c r="Q105" i="4" s="1"/>
  <c r="B11" i="4"/>
  <c r="C39" i="11"/>
  <c r="J63" i="13"/>
  <c r="J97" i="13" s="1"/>
  <c r="J105" i="13" s="1"/>
  <c r="J107" i="13" s="1"/>
  <c r="D81" i="11"/>
  <c r="D60" i="11"/>
  <c r="M12" i="4"/>
  <c r="D63" i="4"/>
  <c r="D97" i="4" s="1"/>
  <c r="D105" i="4" s="1"/>
  <c r="BE68" i="3" s="1"/>
  <c r="R26" i="4"/>
  <c r="D63" i="13"/>
  <c r="D97" i="13" s="1"/>
  <c r="D105" i="13" s="1"/>
  <c r="D23" i="11"/>
  <c r="D19" i="11"/>
  <c r="D14" i="11"/>
  <c r="D7" i="11"/>
  <c r="G63" i="13"/>
  <c r="G97" i="13" s="1"/>
  <c r="G105" i="13" s="1"/>
  <c r="G107" i="13" s="1"/>
  <c r="M53" i="7"/>
  <c r="K58" i="7"/>
  <c r="C27" i="11"/>
  <c r="B82" i="11"/>
  <c r="H63" i="4"/>
  <c r="H97" i="4" s="1"/>
  <c r="H105" i="4" s="1"/>
  <c r="G63" i="4"/>
  <c r="G97" i="4" s="1"/>
  <c r="G105" i="4" s="1"/>
  <c r="I58" i="7"/>
  <c r="C9" i="11"/>
  <c r="T63" i="4"/>
  <c r="B38" i="4"/>
  <c r="K63" i="4"/>
  <c r="K97" i="4" s="1"/>
  <c r="K105" i="4" s="1"/>
  <c r="CI761" i="3"/>
  <c r="X1057" i="3" s="1"/>
  <c r="BG252" i="3"/>
  <c r="BO254" i="3" s="1"/>
  <c r="T276" i="3" s="1"/>
  <c r="AH729" i="3"/>
  <c r="J7" i="8"/>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Y1012" i="3"/>
  <c r="I1057" i="3" s="1"/>
  <c r="C806"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O71" i="20"/>
  <c r="AP388" i="20"/>
  <c r="AQ388" i="20" s="1"/>
  <c r="AK548" i="20"/>
  <c r="T835" i="20" s="1"/>
  <c r="BF761" i="3"/>
  <c r="CU761" i="3"/>
  <c r="EC656" i="3" s="1"/>
  <c r="FE726" i="3"/>
  <c r="FE761" i="3" s="1"/>
  <c r="Y7" i="15"/>
  <c r="AI7" i="15"/>
  <c r="EZ726" i="3"/>
  <c r="CP761" i="3"/>
  <c r="DX677" i="3" s="1"/>
  <c r="DU761" i="3"/>
  <c r="AC28"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P36" i="21" a="1"/>
  <c r="P36" i="21" s="1"/>
  <c r="T28" i="21"/>
  <c r="P40" i="21" a="1"/>
  <c r="P40" i="21"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D210" i="20" l="1"/>
  <c r="S40" i="4"/>
  <c r="S42" i="4" s="1"/>
  <c r="E42" i="13" s="1"/>
  <c r="R42" i="4"/>
  <c r="J40" i="8"/>
  <c r="Z817" i="3" s="1"/>
  <c r="R81" i="4"/>
  <c r="S79" i="4"/>
  <c r="R4" i="4"/>
  <c r="R8" i="4" s="1"/>
  <c r="R12" i="4" s="1"/>
  <c r="E8" i="4"/>
  <c r="N190" i="24"/>
  <c r="I15" i="21"/>
  <c r="D43" i="11"/>
  <c r="D71" i="11"/>
  <c r="B12" i="4"/>
  <c r="D82" i="11"/>
  <c r="D39" i="11"/>
  <c r="D12" i="11"/>
  <c r="B13" i="1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6"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E29" i="21"/>
  <c r="G24" i="21"/>
  <c r="E40" i="13" l="1"/>
  <c r="M969" i="3"/>
  <c r="M970" i="3" s="1"/>
  <c r="E6" i="7"/>
  <c r="E79" i="13"/>
  <c r="S81" i="4"/>
  <c r="E81" i="13" s="1"/>
  <c r="E12" i="4"/>
  <c r="O27" i="21"/>
  <c r="P27" i="21" s="1" a="1"/>
  <c r="P27" i="21" s="1"/>
  <c r="S27" i="21" s="1"/>
  <c r="O30" i="21"/>
  <c r="P30" i="21" s="1" a="1"/>
  <c r="P30" i="21" s="1"/>
  <c r="S30" i="21" s="1"/>
  <c r="O29" i="21"/>
  <c r="P29" i="21" s="1" a="1"/>
  <c r="P29" i="21" s="1"/>
  <c r="S29" i="21" s="1"/>
  <c r="O31" i="21"/>
  <c r="P31" i="21" s="1" a="1"/>
  <c r="P31" i="21" s="1"/>
  <c r="S31" i="21" s="1"/>
  <c r="O32" i="21"/>
  <c r="P32" i="21" s="1" a="1"/>
  <c r="P32" i="21" s="1"/>
  <c r="S32" i="21" s="1"/>
  <c r="O25" i="21"/>
  <c r="P25" i="21" s="1" a="1"/>
  <c r="P25" i="21" s="1"/>
  <c r="S25" i="21" s="1"/>
  <c r="O20" i="21"/>
  <c r="P20" i="21" s="1" a="1"/>
  <c r="P20" i="21" s="1"/>
  <c r="S20" i="21" s="1"/>
  <c r="O24" i="21"/>
  <c r="P24" i="21" s="1" a="1"/>
  <c r="P24" i="21" s="1"/>
  <c r="S24"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P26" i="21" a="1"/>
  <c r="P26" i="21" s="1"/>
  <c r="S26" i="21" s="1"/>
  <c r="DU763" i="3"/>
  <c r="O764" i="3" s="1"/>
  <c r="BG761" i="3"/>
  <c r="BU761" i="3"/>
  <c r="AH761" i="3" s="1"/>
  <c r="BE43" i="3"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F27" i="21"/>
  <c r="G52" i="21"/>
  <c r="G54" i="21" s="1"/>
  <c r="G56" i="21" s="1"/>
  <c r="E12" i="21" s="1"/>
  <c r="F28" i="21"/>
  <c r="G28" i="21" s="1"/>
  <c r="G61" i="21"/>
  <c r="G63" i="21" s="1"/>
  <c r="G65" i="21" s="1"/>
  <c r="E13" i="21" s="1"/>
  <c r="G6" i="7" l="1"/>
  <c r="E7" i="7"/>
  <c r="E11" i="7" s="1"/>
  <c r="AK190" i="20"/>
  <c r="T827" i="20"/>
  <c r="AF827" i="20" s="1"/>
  <c r="H105" i="13"/>
  <c r="T107" i="4"/>
  <c r="H107" i="13" s="1"/>
  <c r="Q58" i="7"/>
  <c r="S53" i="7"/>
  <c r="G45" i="21"/>
  <c r="G47" i="21" s="1"/>
  <c r="E10" i="21" s="1"/>
  <c r="E11" i="21"/>
  <c r="AP718" i="20"/>
  <c r="AJ724" i="20" s="1"/>
  <c r="AK816" i="20" s="1"/>
  <c r="T841" i="20" s="1"/>
  <c r="AF841" i="20" s="1"/>
  <c r="BE82" i="3" s="1"/>
  <c r="AP719" i="20"/>
  <c r="I4" i="7"/>
  <c r="I5" i="7" s="1"/>
  <c r="K9" i="7"/>
  <c r="AJ1001" i="3"/>
  <c r="E137" i="20"/>
  <c r="E138" i="20" s="1"/>
  <c r="AK142" i="20" s="1"/>
  <c r="AB1000" i="3"/>
  <c r="DU810" i="3"/>
  <c r="U386" i="20" s="1"/>
  <c r="P430" i="3"/>
  <c r="M22" i="7"/>
  <c r="O15" i="7"/>
  <c r="M9" i="7"/>
  <c r="O8" i="7"/>
  <c r="G27" i="21"/>
  <c r="F26" i="21"/>
  <c r="I6" i="7" l="1"/>
  <c r="G7" i="7"/>
  <c r="G11" i="7" s="1"/>
  <c r="AJ1025" i="3"/>
  <c r="AJ1003" i="3"/>
  <c r="AD11" i="15"/>
  <c r="AD23" i="15" s="1"/>
  <c r="AD26" i="15" s="1"/>
  <c r="AD28" i="15" s="1"/>
  <c r="AI11" i="15"/>
  <c r="AI23" i="15" s="1"/>
  <c r="AI26" i="15" s="1"/>
  <c r="AI28" i="15" s="1"/>
  <c r="BE72" i="3"/>
  <c r="T829" i="20"/>
  <c r="AF829" i="20" s="1"/>
  <c r="T833" i="20"/>
  <c r="AF833" i="20" s="1"/>
  <c r="BE76" i="3" s="1"/>
  <c r="S58" i="7"/>
  <c r="U53" i="7"/>
  <c r="AJ1054" i="3"/>
  <c r="AJ1058" i="3"/>
  <c r="AP563" i="20"/>
  <c r="K4" i="7"/>
  <c r="M4" i="7" s="1"/>
  <c r="G26" i="21"/>
  <c r="F29" i="21"/>
  <c r="G29" i="21"/>
  <c r="O22" i="7"/>
  <c r="Q15" i="7"/>
  <c r="O9" i="7"/>
  <c r="Q8" i="7"/>
  <c r="I7" i="7" l="1"/>
  <c r="I11" i="7" s="1"/>
  <c r="K6" i="7"/>
  <c r="BE74" i="3"/>
  <c r="AP566" i="20"/>
  <c r="U58" i="7"/>
  <c r="W53" i="7"/>
  <c r="AJ1062" i="3"/>
  <c r="AP565" i="20"/>
  <c r="K5" i="7"/>
  <c r="O4" i="7"/>
  <c r="M5" i="7"/>
  <c r="Q22" i="7"/>
  <c r="S15" i="7"/>
  <c r="G93" i="21"/>
  <c r="G31" i="21"/>
  <c r="G33" i="21" s="1"/>
  <c r="E9" i="21" s="1"/>
  <c r="G102" i="21"/>
  <c r="G104" i="21" s="1"/>
  <c r="E16" i="21" s="1"/>
  <c r="G125" i="21"/>
  <c r="G110" i="21"/>
  <c r="Q9" i="7"/>
  <c r="S8" i="7"/>
  <c r="M6" i="7" l="1"/>
  <c r="K7" i="7"/>
  <c r="K11" i="7" s="1"/>
  <c r="AP567" i="20"/>
  <c r="G94" i="21"/>
  <c r="E15" i="21" s="1"/>
  <c r="W58" i="7"/>
  <c r="Y53" i="7"/>
  <c r="T24" i="15"/>
  <c r="AP570" i="20"/>
  <c r="AP569" i="20" s="1"/>
  <c r="O5" i="7"/>
  <c r="Q4" i="7"/>
  <c r="G115" i="21"/>
  <c r="G127" i="21"/>
  <c r="G111" i="21"/>
  <c r="S22" i="7"/>
  <c r="U15" i="7"/>
  <c r="U8" i="7"/>
  <c r="S9" i="7"/>
  <c r="M7" i="7" l="1"/>
  <c r="M11" i="7" s="1"/>
  <c r="O6" i="7"/>
  <c r="AP572" i="20"/>
  <c r="AF565" i="20" s="1"/>
  <c r="AA53" i="7"/>
  <c r="Y58" i="7"/>
  <c r="G129" i="21"/>
  <c r="E17" i="21" s="1"/>
  <c r="E14" i="21" s="1"/>
  <c r="E18" i="21" s="1"/>
  <c r="S4" i="7"/>
  <c r="Q5" i="7"/>
  <c r="U22" i="7"/>
  <c r="W15" i="7"/>
  <c r="U9" i="7"/>
  <c r="W8" i="7"/>
  <c r="O7" i="7" l="1"/>
  <c r="O11" i="7" s="1"/>
  <c r="Q6" i="7"/>
  <c r="AC53" i="7"/>
  <c r="AA58" i="7"/>
  <c r="U4" i="7"/>
  <c r="S5" i="7"/>
  <c r="W22" i="7"/>
  <c r="Y15" i="7"/>
  <c r="W9" i="7"/>
  <c r="Y8" i="7"/>
  <c r="S6" i="7" l="1"/>
  <c r="Q7" i="7"/>
  <c r="Q11" i="7" s="1"/>
  <c r="AE53" i="7"/>
  <c r="AC58" i="7"/>
  <c r="U5" i="7"/>
  <c r="W4" i="7"/>
  <c r="Y22" i="7"/>
  <c r="AA15" i="7"/>
  <c r="Y9" i="7"/>
  <c r="AA8" i="7"/>
  <c r="S7" i="7" l="1"/>
  <c r="S11" i="7" s="1"/>
  <c r="U6" i="7"/>
  <c r="U7" i="7" s="1"/>
  <c r="U11" i="7" s="1"/>
  <c r="AG53" i="7"/>
  <c r="AG58" i="7" s="1"/>
  <c r="AE58" i="7"/>
  <c r="W5" i="7"/>
  <c r="Y4" i="7"/>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E102" i="20"/>
  <c r="E105" i="20" s="1"/>
  <c r="AP105" i="20" s="1"/>
  <c r="AK108" i="20" s="1"/>
  <c r="T828" i="20" s="1"/>
  <c r="AF828" i="20" s="1"/>
  <c r="BE73" i="3" l="1"/>
  <c r="H3" i="21"/>
  <c r="BE77" i="3" l="1"/>
  <c r="AO635" i="3" l="1"/>
  <c r="F30" i="4" s="1"/>
  <c r="AF635" i="3"/>
  <c r="E40" i="7" s="1"/>
  <c r="C83" i="4"/>
  <c r="B83" i="4" s="1"/>
  <c r="E83" i="4" s="1"/>
  <c r="C99" i="4"/>
  <c r="B99" i="4" s="1"/>
  <c r="C45" i="4"/>
  <c r="B45" i="13" s="1"/>
  <c r="AM562" i="3"/>
  <c r="AW927" i="3" s="1"/>
  <c r="F108" i="4"/>
  <c r="C56" i="4"/>
  <c r="C57" i="11" s="1"/>
  <c r="AC899" i="3"/>
  <c r="E29" i="7" s="1"/>
  <c r="AO638" i="3"/>
  <c r="AO647" i="3" s="1"/>
  <c r="S49" i="4"/>
  <c r="E49" i="13" s="1"/>
  <c r="C75" i="4"/>
  <c r="B76" i="11" s="1"/>
  <c r="B78" i="11" s="1"/>
  <c r="C49" i="4"/>
  <c r="C50" i="11" s="1"/>
  <c r="AM567" i="3"/>
  <c r="AM568" i="3"/>
  <c r="C46" i="4"/>
  <c r="B46" i="4" s="1"/>
  <c r="E46" i="4" s="1"/>
  <c r="R46" i="4" s="1"/>
  <c r="AO648" i="3"/>
  <c r="E108" i="4" s="1"/>
  <c r="AM569" i="3"/>
  <c r="B84" i="11"/>
  <c r="B97" i="11" s="1"/>
  <c r="S46" i="4"/>
  <c r="E46" i="13" s="1"/>
  <c r="C96" i="4"/>
  <c r="B96" i="13" s="1"/>
  <c r="C100" i="11"/>
  <c r="C105" i="11" s="1"/>
  <c r="N10" i="24"/>
  <c r="S45" i="4"/>
  <c r="E45" i="13" s="1"/>
  <c r="AB50" i="15"/>
  <c r="BE62" i="3" s="1"/>
  <c r="AM563" i="3"/>
  <c r="AA928" i="3" s="1"/>
  <c r="C104" i="4" l="1"/>
  <c r="B104" i="13" s="1"/>
  <c r="B100" i="11"/>
  <c r="B105" i="11" s="1"/>
  <c r="B46" i="11"/>
  <c r="B99" i="13"/>
  <c r="B83" i="13"/>
  <c r="B45" i="4"/>
  <c r="E45" i="4" s="1"/>
  <c r="B46" i="13"/>
  <c r="D105" i="11"/>
  <c r="B104" i="4"/>
  <c r="C76" i="11"/>
  <c r="C78" i="11" s="1"/>
  <c r="D78" i="11" s="1"/>
  <c r="AO649" i="3"/>
  <c r="AB48" i="15"/>
  <c r="M40" i="7"/>
  <c r="M43" i="7" s="1"/>
  <c r="AG40" i="7"/>
  <c r="AG43" i="7" s="1"/>
  <c r="U40" i="7"/>
  <c r="U43" i="7" s="1"/>
  <c r="E43" i="7"/>
  <c r="Y40" i="7"/>
  <c r="Y43" i="7" s="1"/>
  <c r="W40" i="7"/>
  <c r="W43" i="7" s="1"/>
  <c r="AE40" i="7"/>
  <c r="AE43" i="7" s="1"/>
  <c r="AA40" i="7"/>
  <c r="AA43" i="7" s="1"/>
  <c r="G40" i="7"/>
  <c r="G43" i="7" s="1"/>
  <c r="AC40" i="7"/>
  <c r="AC43" i="7" s="1"/>
  <c r="Q40" i="7"/>
  <c r="Q43" i="7" s="1"/>
  <c r="K40" i="7"/>
  <c r="K43" i="7" s="1"/>
  <c r="B57" i="11"/>
  <c r="B63" i="11" s="1"/>
  <c r="D100" i="11"/>
  <c r="C62" i="4"/>
  <c r="B62" i="4" s="1"/>
  <c r="I108" i="4"/>
  <c r="I99" i="4"/>
  <c r="I104" i="4" s="1"/>
  <c r="I105" i="4" s="1"/>
  <c r="C77" i="4"/>
  <c r="B75" i="13"/>
  <c r="B75" i="4"/>
  <c r="E75" i="4" s="1"/>
  <c r="E77" i="4" s="1"/>
  <c r="C63" i="11"/>
  <c r="AA927" i="3"/>
  <c r="AG927" i="3" s="1"/>
  <c r="S54" i="4"/>
  <c r="E54" i="13" s="1"/>
  <c r="AM574" i="3"/>
  <c r="C46" i="11"/>
  <c r="B56" i="13"/>
  <c r="C84" i="11"/>
  <c r="B56" i="4"/>
  <c r="E56" i="4" s="1"/>
  <c r="E62" i="4" s="1"/>
  <c r="B96" i="4"/>
  <c r="O40" i="7"/>
  <c r="O43" i="7" s="1"/>
  <c r="S40" i="7"/>
  <c r="S43" i="7" s="1"/>
  <c r="E96" i="4"/>
  <c r="R83" i="4"/>
  <c r="R96" i="4" s="1"/>
  <c r="R45" i="4"/>
  <c r="W29" i="7"/>
  <c r="W35" i="7" s="1"/>
  <c r="W37" i="7" s="1"/>
  <c r="K29" i="7"/>
  <c r="K35" i="7" s="1"/>
  <c r="K37" i="7" s="1"/>
  <c r="AE29" i="7"/>
  <c r="AE35" i="7" s="1"/>
  <c r="AE37" i="7" s="1"/>
  <c r="M29" i="7"/>
  <c r="M35" i="7" s="1"/>
  <c r="M37" i="7" s="1"/>
  <c r="AC29" i="7"/>
  <c r="AC35" i="7" s="1"/>
  <c r="AC37" i="7" s="1"/>
  <c r="U29" i="7"/>
  <c r="U35" i="7" s="1"/>
  <c r="U37" i="7" s="1"/>
  <c r="G29" i="7"/>
  <c r="G35" i="7" s="1"/>
  <c r="G37" i="7" s="1"/>
  <c r="I29" i="7"/>
  <c r="I35" i="7" s="1"/>
  <c r="I37" i="7" s="1"/>
  <c r="AG29" i="7"/>
  <c r="AG35" i="7" s="1"/>
  <c r="AG37" i="7" s="1"/>
  <c r="O29" i="7"/>
  <c r="O35" i="7" s="1"/>
  <c r="O37" i="7" s="1"/>
  <c r="E35" i="7"/>
  <c r="E37" i="7" s="1"/>
  <c r="S29" i="7"/>
  <c r="S35" i="7" s="1"/>
  <c r="S37" i="7" s="1"/>
  <c r="AA29" i="7"/>
  <c r="AA35" i="7" s="1"/>
  <c r="AA37" i="7" s="1"/>
  <c r="Y29" i="7"/>
  <c r="Y35" i="7" s="1"/>
  <c r="Y37" i="7" s="1"/>
  <c r="Q29" i="7"/>
  <c r="Q35" i="7" s="1"/>
  <c r="Q37" i="7" s="1"/>
  <c r="E30" i="4"/>
  <c r="F38" i="4"/>
  <c r="F63" i="4" s="1"/>
  <c r="F97" i="4" s="1"/>
  <c r="F105" i="4" s="1"/>
  <c r="BE21" i="3"/>
  <c r="C47" i="11"/>
  <c r="B49" i="4"/>
  <c r="E49" i="4" s="1"/>
  <c r="R49" i="4" s="1"/>
  <c r="B49" i="13"/>
  <c r="I40" i="7"/>
  <c r="I43" i="7" s="1"/>
  <c r="C54" i="4"/>
  <c r="B47" i="11"/>
  <c r="B50" i="11"/>
  <c r="E99" i="4" l="1"/>
  <c r="E104" i="4" s="1"/>
  <c r="D46" i="11"/>
  <c r="B62" i="13"/>
  <c r="R56" i="4"/>
  <c r="R62" i="4" s="1"/>
  <c r="D76" i="11"/>
  <c r="E54" i="4"/>
  <c r="R75" i="4"/>
  <c r="R77" i="4" s="1"/>
  <c r="D57" i="11"/>
  <c r="B55" i="11"/>
  <c r="B64" i="11" s="1"/>
  <c r="B98" i="11" s="1"/>
  <c r="B106" i="11" s="1"/>
  <c r="R54" i="4"/>
  <c r="D50" i="11"/>
  <c r="B77" i="4"/>
  <c r="B77" i="13"/>
  <c r="D47" i="11"/>
  <c r="D63" i="11"/>
  <c r="C97" i="11"/>
  <c r="D97" i="11" s="1"/>
  <c r="D84" i="11"/>
  <c r="R99" i="4"/>
  <c r="S99" i="4" s="1"/>
  <c r="W49" i="7"/>
  <c r="W45" i="7"/>
  <c r="O49" i="7"/>
  <c r="O45" i="7"/>
  <c r="Y45" i="7"/>
  <c r="Y49" i="7"/>
  <c r="S49" i="7"/>
  <c r="S45" i="7"/>
  <c r="K45" i="7"/>
  <c r="K49" i="7"/>
  <c r="AA45" i="7"/>
  <c r="AA49" i="7"/>
  <c r="E49" i="7"/>
  <c r="E45" i="7"/>
  <c r="AG49" i="7"/>
  <c r="AG45" i="7"/>
  <c r="U49" i="7"/>
  <c r="U45" i="7"/>
  <c r="R30" i="4"/>
  <c r="E38" i="4"/>
  <c r="M49" i="7"/>
  <c r="M45" i="7"/>
  <c r="B54" i="13"/>
  <c r="C63" i="4"/>
  <c r="B54" i="4"/>
  <c r="B63" i="4" s="1"/>
  <c r="I49" i="7"/>
  <c r="I45" i="7"/>
  <c r="G49" i="7"/>
  <c r="G45" i="7"/>
  <c r="AC45" i="7"/>
  <c r="AC49" i="7"/>
  <c r="Q45" i="7"/>
  <c r="Q49" i="7"/>
  <c r="AE49" i="7"/>
  <c r="AE45" i="7"/>
  <c r="C55" i="11"/>
  <c r="E63" i="4" l="1"/>
  <c r="E97" i="4" s="1"/>
  <c r="E105" i="4" s="1"/>
  <c r="R104" i="4"/>
  <c r="K48" i="7"/>
  <c r="K47" i="7"/>
  <c r="K60" i="7"/>
  <c r="S104" i="4"/>
  <c r="E99" i="13"/>
  <c r="S48" i="7"/>
  <c r="S60" i="7"/>
  <c r="S47" i="7"/>
  <c r="AA60" i="7"/>
  <c r="AA47" i="7"/>
  <c r="AA48" i="7"/>
  <c r="S30" i="4"/>
  <c r="R38" i="4"/>
  <c r="R63" i="4" s="1"/>
  <c r="R97" i="4" s="1"/>
  <c r="AC60" i="7"/>
  <c r="AC48" i="7"/>
  <c r="AC47" i="7"/>
  <c r="G47" i="7"/>
  <c r="G60" i="7"/>
  <c r="G48" i="7"/>
  <c r="AG47" i="7"/>
  <c r="AG60" i="7"/>
  <c r="AG48" i="7"/>
  <c r="O48" i="7"/>
  <c r="O60" i="7"/>
  <c r="O47" i="7"/>
  <c r="B63" i="13"/>
  <c r="C97" i="4"/>
  <c r="M48" i="7"/>
  <c r="M60" i="7"/>
  <c r="M47" i="7"/>
  <c r="Y47" i="7"/>
  <c r="Y60" i="7"/>
  <c r="Y48" i="7"/>
  <c r="I60" i="7"/>
  <c r="I48" i="7"/>
  <c r="I47" i="7"/>
  <c r="Q60" i="7"/>
  <c r="Q47" i="7"/>
  <c r="Q48" i="7"/>
  <c r="U60" i="7"/>
  <c r="U47" i="7"/>
  <c r="U48" i="7"/>
  <c r="D55" i="11"/>
  <c r="C64" i="11"/>
  <c r="E47" i="7"/>
  <c r="E48" i="7"/>
  <c r="E60" i="7"/>
  <c r="W47" i="7"/>
  <c r="W60" i="7"/>
  <c r="W48" i="7"/>
  <c r="AE47" i="7"/>
  <c r="AE60" i="7"/>
  <c r="AE48" i="7"/>
  <c r="R105" i="4" l="1"/>
  <c r="Y62" i="7"/>
  <c r="Y67" i="7"/>
  <c r="Y66" i="7"/>
  <c r="S66" i="7"/>
  <c r="S67" i="7"/>
  <c r="S62" i="7"/>
  <c r="O67" i="7"/>
  <c r="O66" i="7"/>
  <c r="O62" i="7"/>
  <c r="S38" i="4"/>
  <c r="E30" i="13"/>
  <c r="E67" i="7"/>
  <c r="E62" i="7"/>
  <c r="E66" i="7"/>
  <c r="I62" i="7"/>
  <c r="I66" i="7"/>
  <c r="I67" i="7"/>
  <c r="AG62" i="7"/>
  <c r="AG67" i="7"/>
  <c r="AG66" i="7"/>
  <c r="AG70" i="7" s="1"/>
  <c r="AA66" i="7"/>
  <c r="AA67" i="7"/>
  <c r="AA62" i="7"/>
  <c r="C98" i="11"/>
  <c r="D64" i="11"/>
  <c r="G66" i="7"/>
  <c r="G67" i="7"/>
  <c r="G62" i="7"/>
  <c r="M66" i="7"/>
  <c r="M67" i="7"/>
  <c r="M62" i="7"/>
  <c r="AE66" i="7"/>
  <c r="AE62" i="7"/>
  <c r="AE67" i="7"/>
  <c r="B97" i="13"/>
  <c r="C105" i="4"/>
  <c r="B97" i="4"/>
  <c r="AC67" i="7"/>
  <c r="AC62" i="7"/>
  <c r="AC66" i="7"/>
  <c r="U67" i="7"/>
  <c r="U62" i="7"/>
  <c r="U66" i="7"/>
  <c r="BA1067" i="3"/>
  <c r="E104" i="13"/>
  <c r="K62" i="7"/>
  <c r="K67" i="7"/>
  <c r="K66" i="7"/>
  <c r="W62" i="7"/>
  <c r="W67" i="7"/>
  <c r="W66" i="7"/>
  <c r="Q62" i="7"/>
  <c r="Q66" i="7"/>
  <c r="Q67" i="7"/>
  <c r="O70" i="7" l="1"/>
  <c r="Y70" i="7"/>
  <c r="Y72" i="7" s="1"/>
  <c r="AG72" i="7"/>
  <c r="U70" i="7"/>
  <c r="U72" i="7" s="1"/>
  <c r="O72" i="7"/>
  <c r="E70" i="7"/>
  <c r="E72" i="7" s="1"/>
  <c r="S70" i="7"/>
  <c r="S72" i="7" s="1"/>
  <c r="W70" i="7"/>
  <c r="W72" i="7" s="1"/>
  <c r="D98" i="11"/>
  <c r="C106" i="11"/>
  <c r="D106" i="11" s="1"/>
  <c r="I70" i="7"/>
  <c r="I72" i="7" s="1"/>
  <c r="BE101" i="3"/>
  <c r="AC464" i="3"/>
  <c r="B105" i="13"/>
  <c r="AG268" i="20"/>
  <c r="B105" i="4"/>
  <c r="G70" i="7"/>
  <c r="G72" i="7" s="1"/>
  <c r="Q70" i="7"/>
  <c r="Q72" i="7" s="1"/>
  <c r="AE70" i="7"/>
  <c r="AE72" i="7" s="1"/>
  <c r="AC70" i="7"/>
  <c r="AC72" i="7" s="1"/>
  <c r="AA70" i="7"/>
  <c r="AA72" i="7" s="1"/>
  <c r="K70" i="7"/>
  <c r="K72" i="7" s="1"/>
  <c r="M70" i="7"/>
  <c r="M72" i="7" s="1"/>
  <c r="S63" i="4"/>
  <c r="E38" i="13"/>
  <c r="S97" i="4" l="1"/>
  <c r="E63" i="13"/>
  <c r="BE22" i="3"/>
  <c r="AC463" i="3"/>
  <c r="BE44" i="3" s="1"/>
  <c r="N180" i="24"/>
  <c r="AB265" i="20"/>
  <c r="AG267" i="20" s="1"/>
  <c r="AG269" i="20" s="1"/>
  <c r="AK272" i="20" s="1"/>
  <c r="T834" i="20" s="1"/>
  <c r="AB47" i="15"/>
  <c r="AB49" i="15" s="1"/>
  <c r="AB54" i="15" l="1"/>
  <c r="AB55" i="15" s="1"/>
  <c r="N191" i="24"/>
  <c r="N181" i="24"/>
  <c r="AZ1055" i="3"/>
  <c r="E97" i="13"/>
  <c r="S105" i="4"/>
  <c r="E105" i="13" l="1"/>
  <c r="S107" i="4"/>
  <c r="I9" i="21"/>
  <c r="BA1065" i="3"/>
  <c r="AZ1060" i="3"/>
  <c r="BA1064" i="3" s="1"/>
  <c r="BA1068" i="3" s="1"/>
  <c r="G166" i="21" l="1"/>
  <c r="G165" i="21"/>
  <c r="AF564" i="20"/>
  <c r="AF566" i="20" s="1"/>
  <c r="AK572" i="20" s="1"/>
  <c r="T840" i="20" s="1"/>
  <c r="AF840" i="20" s="1"/>
  <c r="AC465" i="3"/>
  <c r="AA1065" i="3"/>
  <c r="AA1066" i="3" s="1"/>
  <c r="G1067" i="3" s="1"/>
  <c r="E107" i="13"/>
  <c r="T11" i="15" l="1"/>
  <c r="T23" i="15" s="1"/>
  <c r="Y11" i="15"/>
  <c r="Y23" i="15" s="1"/>
  <c r="Y26" i="15" s="1"/>
  <c r="Y28" i="15" s="1"/>
  <c r="AF843" i="20"/>
  <c r="BE70" i="3" s="1"/>
  <c r="BE81" i="3"/>
  <c r="Y64" i="15" l="1"/>
  <c r="Y68" i="15" s="1"/>
  <c r="Y69" i="15" s="1"/>
  <c r="AD38" i="15"/>
  <c r="AD40" i="15" s="1"/>
  <c r="T26" i="15"/>
  <c r="T28" i="15" s="1"/>
  <c r="T29" i="15" s="1"/>
  <c r="Y38" i="15" l="1"/>
  <c r="Y40" i="15" s="1"/>
  <c r="Y41" i="15" s="1"/>
  <c r="AB56" i="15" s="1"/>
  <c r="M26" i="3" s="1"/>
  <c r="AB57" i="15" l="1"/>
  <c r="AB59" i="15" s="1"/>
  <c r="AB77" i="15" s="1"/>
  <c r="AB78" i="15" s="1"/>
  <c r="I10" i="21" s="1"/>
  <c r="I11" i="21" s="1"/>
  <c r="I18" i="21" s="1"/>
  <c r="H4" i="21" s="1"/>
  <c r="H5" i="21" s="1"/>
  <c r="BE83" i="3" s="1"/>
  <c r="BE19" i="3"/>
  <c r="P204" i="3"/>
  <c r="AB79" i="15" l="1"/>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tc={9977AB5F-18FF-468C-9D4A-E76C1DEFB12B}</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06ED056-1EDF-4DC7-BFD0-689C5D4CB5EE}">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U840" authorId="3" shapeId="0" xr:uid="{9977AB5F-18FF-468C-9D4A-E76C1DEFB12B}">
      <text>
        <t>[Threaded comment]
Your version of Excel allows you to read this threaded comment; however, any edits to it will get removed if the file is opened in a newer version of Excel. Learn more: https://go.microsoft.com/fwlink/?linkid=870924
Comment:
    Rounding Error - $21/unit is the 2BR UA</t>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<sst xmlns="http://schemas.openxmlformats.org/spreadsheetml/2006/main" count="5082" uniqueCount="2792">
  <si>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</si>
  <si>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</si>
  <si>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</si>
  <si>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</si>
  <si>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</si>
  <si>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</si>
  <si>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</si>
  <si>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</si>
  <si>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</si>
  <si>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</si>
  <si>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</si>
  <si>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</si>
  <si>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</si>
  <si>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</si>
  <si>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</si>
  <si>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</si>
  <si>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</si>
  <si>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</si>
  <si>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</si>
  <si>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</si>
  <si>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</si>
  <si>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</si>
  <si>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</si>
  <si>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</si>
  <si>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</si>
  <si>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</si>
  <si>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</si>
  <si>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</si>
  <si>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</si>
  <si>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</si>
  <si>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</si>
  <si>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</si>
  <si>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</si>
  <si>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</si>
  <si>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</si>
  <si>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</si>
  <si>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</si>
  <si>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</si>
  <si>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</si>
  <si>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</si>
  <si>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</si>
  <si>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</si>
  <si>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</si>
  <si>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</si>
  <si>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</si>
  <si>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</si>
  <si>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</si>
  <si>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</si>
  <si>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</si>
  <si>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</si>
  <si>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</si>
  <si>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</si>
  <si>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</si>
  <si>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</si>
  <si>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</si>
  <si>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</si>
  <si>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</si>
  <si>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</si>
  <si>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</si>
  <si>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</si>
  <si>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</si>
  <si>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</si>
  <si>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</si>
  <si>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</si>
  <si>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</si>
  <si>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</si>
  <si>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</si>
  <si>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</si>
  <si>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</si>
  <si>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</si>
  <si>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</si>
  <si>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</si>
  <si>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</si>
  <si>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</si>
  <si>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</si>
  <si>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</si>
  <si>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</si>
  <si>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</si>
  <si>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</si>
  <si>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</si>
  <si>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</si>
  <si>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</si>
  <si>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</si>
  <si>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</si>
  <si>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</si>
  <si>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</si>
  <si>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</si>
  <si>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</si>
  <si>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</si>
  <si>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</si>
  <si>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</si>
  <si>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</si>
  <si>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</si>
  <si>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</si>
  <si>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</si>
  <si>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</si>
  <si>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</si>
  <si>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</si>
  <si>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</si>
  <si>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</si>
  <si>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</si>
  <si>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</si>
  <si>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</si>
  <si>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</si>
  <si>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</si>
  <si>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</si>
  <si>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</si>
  <si>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</si>
  <si>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</si>
  <si>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</si>
  <si>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</si>
  <si>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</si>
  <si>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</si>
  <si>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</si>
  <si>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</si>
  <si>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</si>
  <si>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</si>
  <si>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</si>
  <si>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</si>
  <si>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</si>
  <si>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</si>
  <si>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</si>
  <si>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</si>
  <si>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</si>
  <si>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</si>
  <si>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</si>
  <si>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</si>
  <si>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</si>
  <si>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</si>
  <si>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</si>
  <si>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</si>
  <si>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</si>
  <si>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</si>
  <si>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</si>
  <si>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</si>
  <si>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</si>
  <si>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</si>
  <si>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</si>
  <si>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</si>
  <si>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</si>
  <si>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</si>
  <si>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</si>
  <si>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</si>
  <si>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</si>
  <si>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</si>
  <si>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</si>
  <si>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</si>
  <si>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</si>
  <si>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</si>
  <si>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</si>
  <si>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</si>
  <si>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</si>
  <si>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</si>
  <si>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</si>
  <si>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</si>
  <si>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</si>
  <si>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</si>
  <si>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</si>
  <si>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</si>
  <si>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</si>
  <si>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</si>
  <si>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</si>
  <si>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</si>
  <si>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</si>
  <si>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</si>
  <si>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</si>
  <si>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</si>
  <si>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</si>
  <si>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</si>
  <si>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</si>
  <si>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</si>
  <si>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</si>
  <si>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</si>
  <si>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</si>
  <si>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</si>
  <si>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</si>
  <si>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</si>
  <si>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</si>
  <si>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</si>
  <si>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</si>
  <si>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</si>
  <si>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</si>
  <si>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</si>
  <si>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</si>
  <si>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</si>
  <si>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</si>
  <si>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</si>
  <si>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</si>
  <si>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</si>
  <si>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</si>
  <si>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</si>
  <si>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</si>
  <si>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</si>
  <si>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</si>
  <si>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</si>
  <si>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</si>
  <si>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</si>
  <si>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</si>
  <si>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</si>
  <si>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</si>
  <si>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</si>
  <si>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</si>
  <si>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</si>
  <si>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</si>
  <si>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</si>
  <si>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</si>
  <si>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</si>
  <si>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</si>
  <si>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</si>
  <si>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</si>
  <si>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</si>
  <si>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</si>
  <si>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</si>
  <si>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</si>
  <si>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</si>
  <si>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</si>
  <si>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</si>
  <si>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</si>
  <si>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</si>
  <si>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</si>
  <si>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</si>
  <si>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</si>
  <si>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</si>
  <si>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</si>
  <si>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</si>
  <si>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</si>
  <si>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</si>
  <si>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</si>
  <si>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</si>
  <si>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</si>
  <si>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</si>
  <si>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</si>
  <si>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</si>
  <si>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</si>
  <si>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</si>
  <si>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</si>
  <si>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</si>
  <si>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</si>
  <si>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</si>
  <si>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</si>
  <si>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</si>
  <si>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</si>
  <si>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</si>
  <si>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</si>
  <si>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</si>
  <si>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</si>
  <si>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</si>
  <si>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</si>
  <si>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</si>
  <si>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</si>
  <si>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</si>
  <si>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</si>
  <si>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</si>
  <si>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</si>
  <si>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</si>
  <si>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</si>
  <si>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</si>
  <si>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</si>
  <si>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</si>
  <si>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</si>
  <si>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</si>
  <si>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</si>
  <si>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</si>
  <si>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</si>
  <si>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</si>
  <si>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</si>
  <si>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</si>
  <si>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</si>
  <si>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</si>
  <si>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</si>
  <si>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</si>
  <si>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</si>
  <si>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</si>
  <si>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</si>
  <si>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</si>
  <si>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</si>
  <si>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</si>
  <si>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</si>
  <si>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</si>
  <si>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</si>
  <si>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</si>
  <si>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</si>
  <si>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</si>
  <si>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</si>
  <si>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</si>
  <si>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</si>
  <si>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</si>
  <si>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</si>
  <si>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</si>
  <si>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</si>
  <si>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</si>
  <si>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</si>
  <si>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</si>
  <si>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</si>
  <si>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</si>
  <si>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</si>
  <si>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</si>
  <si>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</si>
  <si>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</si>
  <si>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</si>
  <si>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</si>
  <si>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</si>
  <si>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</si>
  <si>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</si>
  <si>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</si>
  <si>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</si>
  <si>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</si>
  <si>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</si>
  <si>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</si>
  <si>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</si>
  <si>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</si>
  <si>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</si>
  <si>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</si>
  <si>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</si>
  <si>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</si>
  <si>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</si>
  <si>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</si>
  <si>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</si>
  <si>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</si>
  <si>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</si>
  <si>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</si>
  <si>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</si>
  <si>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</si>
  <si>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</si>
  <si>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</si>
  <si>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</si>
  <si>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</si>
  <si>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</si>
  <si>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</si>
  <si>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</si>
  <si>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</si>
  <si>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</si>
  <si>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</si>
  <si>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</si>
  <si>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</si>
  <si>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</si>
  <si>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</si>
  <si>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</si>
  <si>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</si>
  <si>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</si>
  <si>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</si>
  <si>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</si>
  <si>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</si>
  <si>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</si>
  <si>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</si>
  <si>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</si>
  <si>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</si>
  <si>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</si>
  <si>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</si>
  <si>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</si>
  <si>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</si>
  <si>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</si>
  <si>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</si>
  <si>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</si>
  <si>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</si>
  <si>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</si>
  <si>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</si>
  <si>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</si>
  <si>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</si>
  <si>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</si>
  <si>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</si>
  <si>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</si>
  <si>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</si>
  <si>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</si>
  <si>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</si>
  <si>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</si>
  <si>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</si>
  <si>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</si>
  <si>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</si>
  <si>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</si>
  <si>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</si>
  <si>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</si>
  <si>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</si>
  <si>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</si>
  <si>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</si>
  <si>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</si>
  <si>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</si>
  <si>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</si>
  <si>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</si>
  <si>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</si>
  <si>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</si>
  <si>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</si>
  <si>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</si>
  <si>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</si>
  <si>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</si>
  <si>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</si>
  <si>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</si>
  <si>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</si>
  <si>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</si>
  <si>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</si>
  <si>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</si>
  <si>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</si>
  <si>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</si>
  <si>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</si>
  <si>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</si>
  <si>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</si>
  <si>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</si>
  <si>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</si>
  <si>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</si>
  <si>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</si>
  <si>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</si>
  <si>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</si>
  <si>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</si>
  <si>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</si>
  <si>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</si>
  <si>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</si>
  <si>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</si>
  <si>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</si>
  <si>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</si>
  <si>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</si>
  <si>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</si>
  <si>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</si>
  <si>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</si>
  <si>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</si>
  <si>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</si>
  <si>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</si>
  <si>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</si>
  <si>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</si>
  <si>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</si>
  <si>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</si>
  <si>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</si>
  <si>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</si>
  <si>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</si>
  <si>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</si>
  <si>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</si>
  <si>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</si>
  <si>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</si>
  <si>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</si>
  <si>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</si>
  <si>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</si>
  <si>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</si>
  <si>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</si>
  <si>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</si>
  <si>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</si>
  <si>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</si>
  <si>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</si>
  <si>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</si>
  <si>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</si>
  <si>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</si>
  <si>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</si>
  <si>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</si>
  <si>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</si>
  <si>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</si>
  <si>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</si>
  <si>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</si>
  <si>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</si>
  <si>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</si>
  <si>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</si>
  <si>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</si>
  <si>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</si>
  <si>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</si>
  <si>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</si>
  <si>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</si>
  <si>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</si>
  <si>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</si>
  <si>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</si>
  <si>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</si>
  <si>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</si>
  <si>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</si>
  <si>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</si>
  <si>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</si>
  <si>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</si>
  <si>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</si>
  <si>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</si>
  <si>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</si>
  <si>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</si>
  <si>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</si>
  <si>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</si>
  <si>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</si>
  <si>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</si>
  <si>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</si>
  <si>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</si>
  <si>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(select one)</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</si>
  <si>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</si>
  <si>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</si>
  <si>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</si>
  <si>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</si>
  <si>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</si>
  <si>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</si>
  <si>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</si>
  <si>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</si>
  <si>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</si>
  <si>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</si>
  <si>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</si>
  <si>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</si>
  <si>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</si>
  <si>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</si>
  <si>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</si>
  <si>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</si>
  <si>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</si>
  <si>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</si>
  <si>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</si>
  <si>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</si>
  <si>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</si>
  <si>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</si>
  <si>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</si>
  <si>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</si>
  <si>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</si>
  <si>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</si>
  <si>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</si>
  <si>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</si>
  <si>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</si>
  <si>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</si>
  <si>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</si>
  <si>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</si>
  <si>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</si>
  <si>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</si>
  <si>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</si>
  <si>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</si>
  <si>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</si>
  <si>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</si>
  <si>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</si>
  <si>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</si>
  <si>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</si>
  <si>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</si>
  <si>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</si>
  <si>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</si>
  <si>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</si>
  <si>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</si>
  <si>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</si>
  <si>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</si>
  <si>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</si>
  <si>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</si>
  <si>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</si>
  <si>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</si>
  <si>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</si>
  <si>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</si>
  <si>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</si>
  <si>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</si>
  <si>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</si>
  <si>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</si>
  <si>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Need to Provide</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</si>
  <si>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</si>
  <si>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</si>
  <si>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</si>
  <si>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</si>
  <si>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</si>
  <si>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</si>
  <si>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</si>
  <si>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</si>
  <si>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</si>
  <si>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</si>
  <si>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</si>
  <si>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</si>
  <si>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</si>
  <si>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</si>
  <si>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</si>
  <si>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</si>
  <si>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</si>
  <si>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</si>
  <si>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</si>
  <si>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</si>
  <si>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</si>
  <si>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</si>
  <si>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</si>
  <si>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</si>
  <si>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</si>
  <si>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</si>
  <si>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</si>
  <si>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</si>
  <si>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</si>
  <si>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</si>
  <si>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</si>
  <si>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</si>
  <si>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</si>
  <si>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</si>
  <si>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</si>
  <si>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</si>
  <si>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</si>
  <si>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</si>
  <si>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</si>
  <si>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</si>
  <si>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</si>
  <si>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</si>
  <si>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</si>
  <si>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</si>
  <si>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</si>
  <si>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</si>
  <si>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</si>
  <si>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</si>
  <si>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</si>
  <si>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</si>
  <si>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</si>
  <si>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</si>
  <si>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</si>
  <si>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</si>
  <si>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</si>
  <si>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</si>
  <si>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</si>
  <si>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</si>
  <si>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</si>
  <si>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</si>
  <si>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</si>
  <si>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</si>
  <si>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</si>
  <si>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</si>
  <si>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</si>
  <si>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</si>
  <si>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</si>
  <si>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</si>
  <si>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</si>
  <si>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</si>
  <si>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</si>
  <si>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</si>
  <si>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</si>
  <si>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</si>
  <si>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</si>
  <si>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</si>
  <si>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</si>
  <si>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</si>
  <si>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</si>
  <si>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</si>
  <si>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</si>
  <si>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</si>
  <si>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</si>
  <si>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</si>
  <si>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</si>
  <si>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</si>
  <si>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</si>
  <si>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</si>
  <si>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</si>
  <si>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</si>
  <si>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</si>
  <si>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</si>
  <si>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</si>
  <si>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</si>
  <si>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</si>
  <si>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</si>
  <si>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</si>
  <si>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</si>
  <si>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</si>
  <si>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</si>
  <si>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</si>
  <si>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</si>
  <si>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</si>
  <si>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</si>
  <si>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</si>
  <si>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</si>
  <si>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</si>
  <si>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</si>
  <si>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</si>
  <si>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</si>
  <si>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</si>
  <si>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</si>
  <si>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</si>
  <si>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</si>
  <si>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</si>
  <si>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</si>
  <si>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</si>
  <si>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</si>
  <si>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</si>
  <si>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</si>
  <si>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</si>
  <si>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</si>
  <si>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</si>
  <si>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</si>
  <si>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</si>
  <si>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</si>
  <si>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</si>
  <si>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</si>
  <si>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</si>
  <si>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</si>
  <si>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</si>
  <si>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</si>
  <si>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</si>
  <si>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</si>
  <si>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</si>
  <si>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</si>
  <si>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</si>
  <si>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</si>
  <si>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</si>
  <si>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</si>
  <si>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</si>
  <si>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</si>
  <si>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Greenfield EAH II, L.P.</t>
  </si>
  <si>
    <t>MIP Amount</t>
  </si>
  <si>
    <t>PROJECT NAME:</t>
  </si>
  <si>
    <t>Greenfield Commons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</si>
  <si>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</si>
  <si>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</si>
  <si>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</si>
  <si>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</si>
  <si>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</si>
  <si>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</si>
  <si>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</si>
  <si>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</si>
  <si>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</si>
  <si>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</si>
  <si>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</si>
  <si>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</si>
  <si>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</si>
  <si>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</si>
  <si>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</si>
  <si>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</si>
  <si>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</si>
  <si>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</si>
  <si>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</si>
  <si>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</si>
  <si>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</si>
  <si>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</si>
  <si>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</si>
  <si>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</si>
  <si>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</si>
  <si>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</si>
  <si>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</si>
  <si>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</si>
  <si>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</si>
  <si>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</si>
  <si>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</si>
  <si>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</si>
  <si>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</si>
  <si>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</si>
  <si>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</si>
  <si>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</si>
  <si>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</si>
  <si>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</si>
  <si>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</si>
  <si>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</si>
  <si>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</si>
  <si>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</si>
  <si>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</si>
  <si>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</si>
  <si>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</si>
  <si>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</si>
  <si>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</si>
  <si>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</si>
  <si>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</si>
  <si>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</si>
  <si>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</si>
  <si>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</si>
  <si>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</si>
  <si>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</si>
  <si>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</si>
  <si>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</si>
  <si>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</si>
  <si>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</si>
  <si>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</si>
  <si>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</si>
  <si>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</si>
  <si>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</si>
  <si>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</si>
  <si>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</si>
  <si>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</si>
  <si>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</si>
  <si>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</si>
  <si>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</si>
  <si>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</si>
  <si>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</si>
  <si>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</si>
  <si>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</si>
  <si>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</si>
  <si>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</si>
  <si>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</si>
  <si>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</si>
  <si>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</si>
  <si>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</si>
  <si>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</si>
  <si>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</si>
  <si>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</si>
  <si>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</si>
  <si>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</si>
  <si>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</si>
  <si>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</si>
  <si>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</si>
  <si>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</si>
  <si>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</si>
  <si>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</si>
  <si>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</si>
  <si>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</si>
  <si>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</si>
  <si>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</si>
  <si>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</si>
  <si>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</si>
  <si>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</si>
  <si>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</si>
  <si>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</si>
  <si>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</si>
  <si>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</si>
  <si>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</si>
  <si>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</si>
  <si>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</si>
  <si>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</si>
  <si>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</si>
  <si>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</si>
  <si>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</si>
  <si>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</si>
  <si>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</si>
  <si>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</si>
  <si>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</si>
  <si>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</si>
  <si>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</si>
  <si>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</si>
  <si>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</si>
  <si>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</si>
  <si>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</si>
  <si>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</si>
  <si>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</si>
  <si>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</si>
  <si>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</si>
  <si>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</si>
  <si>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</si>
  <si>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</si>
  <si>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San Rafael</t>
  </si>
  <si>
    <t>, California.</t>
  </si>
  <si>
    <t xml:space="preserve">By: </t>
  </si>
  <si>
    <t>(Original Signature)</t>
  </si>
  <si>
    <t>Welton Jordan</t>
  </si>
  <si>
    <t>(Typed or printed name)</t>
  </si>
  <si>
    <t xml:space="preserve">Application type: </t>
  </si>
  <si>
    <t>4%</t>
  </si>
  <si>
    <t xml:space="preserve">Please select your county: </t>
  </si>
  <si>
    <t>Authorized Signatory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</si>
  <si>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</si>
  <si>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</si>
  <si>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</si>
  <si>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</si>
  <si>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</si>
  <si>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</si>
  <si>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Greenfield</t>
  </si>
  <si>
    <t>Inland (Fresno, Imperial, Kern, Kings, Madera, Merced, Riverside, San Bernardino, Stanislaus, and Tulare Counties)</t>
  </si>
  <si>
    <t>4% 2026 TBLs</t>
  </si>
  <si>
    <t>9% 2026 TBLs</t>
  </si>
  <si>
    <t>City Manager:</t>
  </si>
  <si>
    <t>Paul Wood</t>
  </si>
  <si>
    <t>Northern (Butte, El Dorado, Placer, Sacramento, San Joaquin, Shasta, Solano, Sutter, Yuba, and Yolo Counties)</t>
  </si>
  <si>
    <t>Title:</t>
  </si>
  <si>
    <t>N/A</t>
  </si>
  <si>
    <t xml:space="preserve">Mailing Address: </t>
  </si>
  <si>
    <t>599 El Camino Real, P.O. Box 127</t>
  </si>
  <si>
    <t>2025 100% RENTS</t>
  </si>
  <si>
    <t>2025 FAIR MARKET RENTS</t>
  </si>
  <si>
    <t xml:space="preserve">City: </t>
  </si>
  <si>
    <t xml:space="preserve">Greenfield </t>
  </si>
  <si>
    <t>ALAMEDA</t>
  </si>
  <si>
    <t>Alameda</t>
  </si>
  <si>
    <t>California Tax Credit Allocation Committee</t>
  </si>
  <si>
    <t>Housing and Urban Development</t>
  </si>
  <si>
    <t xml:space="preserve">Zip Code: </t>
  </si>
  <si>
    <t>ALPINE</t>
  </si>
  <si>
    <t>Alpine</t>
  </si>
  <si>
    <t>Phone Number:</t>
  </si>
  <si>
    <t>(831) 674-5591</t>
  </si>
  <si>
    <t>Ext.</t>
  </si>
  <si>
    <t>AMADOR</t>
  </si>
  <si>
    <t>Amador</t>
  </si>
  <si>
    <t>County</t>
  </si>
  <si>
    <t>SRO/Studio</t>
  </si>
  <si>
    <t>1 Bedroom</t>
  </si>
  <si>
    <t>2 Bedrooms</t>
  </si>
  <si>
    <t>3 Bedrooms</t>
  </si>
  <si>
    <t>4 Bedrooms</t>
  </si>
  <si>
    <t>5 Bedrooms</t>
  </si>
  <si>
    <t>SRO/STUDIO</t>
  </si>
  <si>
    <t>4+ Bedrooms</t>
  </si>
  <si>
    <t xml:space="preserve">FAX Number: </t>
  </si>
  <si>
    <t>(831) 674-3149</t>
  </si>
  <si>
    <t>BUTTE</t>
  </si>
  <si>
    <t>Butte</t>
  </si>
  <si>
    <t xml:space="preserve">E-mail: </t>
  </si>
  <si>
    <t>bslama@ci.greenfiel.ca.us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</si>
  <si>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</si>
  <si>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</si>
  <si>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</si>
  <si>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</si>
  <si>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</si>
  <si>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</si>
  <si>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</si>
  <si>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</si>
  <si>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</si>
  <si>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</si>
  <si>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</si>
  <si>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</si>
  <si>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</si>
  <si>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</si>
  <si>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</si>
  <si>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</si>
  <si>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</si>
  <si>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</si>
  <si>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</si>
  <si>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</si>
  <si>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</si>
  <si>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</si>
  <si>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</si>
  <si>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</si>
  <si>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</si>
  <si>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</si>
  <si>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</si>
  <si>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</si>
  <si>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</si>
  <si>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</si>
  <si>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</si>
  <si>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</si>
  <si>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</si>
  <si>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</si>
  <si>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</si>
  <si>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</si>
  <si>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</si>
  <si>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</si>
  <si>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</si>
  <si>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</si>
  <si>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</si>
  <si>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</si>
  <si>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</si>
  <si>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</si>
  <si>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</si>
  <si>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</si>
  <si>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</si>
  <si>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</si>
  <si>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</si>
  <si>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</si>
  <si>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</si>
  <si>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</si>
  <si>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</si>
  <si>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</si>
  <si>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</si>
  <si>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</si>
  <si>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</si>
  <si>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</si>
  <si>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</si>
  <si>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</si>
  <si>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</si>
  <si>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</si>
  <si>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</si>
  <si>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</si>
  <si>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</si>
  <si>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</si>
  <si>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</si>
  <si>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</si>
  <si>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</si>
  <si>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</si>
  <si>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</si>
  <si>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</si>
  <si>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</si>
  <si>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</si>
  <si>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</si>
  <si>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</si>
  <si>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263 Walnut Avenue</t>
  </si>
  <si>
    <t>Federal and State:</t>
  </si>
  <si>
    <t>NEVADA</t>
  </si>
  <si>
    <t>Nevada</t>
  </si>
  <si>
    <t>If address is not established, enter detailed description (i.e. NW corner of 26th and Elm)</t>
  </si>
  <si>
    <t>ORANGE</t>
  </si>
  <si>
    <t>Orange</t>
  </si>
  <si>
    <t>PLACER</t>
  </si>
  <si>
    <t>Placer</t>
  </si>
  <si>
    <t>PLUMAS</t>
  </si>
  <si>
    <t>Plumas</t>
  </si>
  <si>
    <t>City:</t>
  </si>
  <si>
    <t>Greenfield</t>
  </si>
  <si>
    <t>County:</t>
  </si>
  <si>
    <t>RIVERSIDE</t>
  </si>
  <si>
    <t>Riverside</t>
  </si>
  <si>
    <t>Zip Code:</t>
  </si>
  <si>
    <t>Census Tract:</t>
  </si>
  <si>
    <t>Large Family</t>
  </si>
  <si>
    <t>SACRAMENTO</t>
  </si>
  <si>
    <t>Sacramento</t>
  </si>
  <si>
    <t>Assessor's Parcel Number(s):</t>
  </si>
  <si>
    <t>109-082-016</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</si>
  <si>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</si>
  <si>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</si>
  <si>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</si>
  <si>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</si>
  <si>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</si>
  <si>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</si>
  <si>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</si>
  <si>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</si>
  <si>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</si>
  <si>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</si>
  <si>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</si>
  <si>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</si>
  <si>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</si>
  <si>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</si>
  <si>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</si>
  <si>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</si>
  <si>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</si>
  <si>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</si>
  <si>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</si>
  <si>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</si>
  <si>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</si>
  <si>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</si>
  <si>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</si>
  <si>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</si>
  <si>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</si>
  <si>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</si>
  <si>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</si>
  <si>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</si>
  <si>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</si>
  <si>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</si>
  <si>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</si>
  <si>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</si>
  <si>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</si>
  <si>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</si>
  <si>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</si>
  <si>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</si>
  <si>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</si>
  <si>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</si>
  <si>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</si>
  <si>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</si>
  <si>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</si>
  <si>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</si>
  <si>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</si>
  <si>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</si>
  <si>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</si>
  <si>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</si>
  <si>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</si>
  <si>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</si>
  <si>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</si>
  <si>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</si>
  <si>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</si>
  <si>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</si>
  <si>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</si>
  <si>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</si>
  <si>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</si>
  <si>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</si>
  <si>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</si>
  <si>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</si>
  <si>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</si>
  <si>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</si>
  <si>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</si>
  <si>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</si>
  <si>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</si>
  <si>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</si>
  <si>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</si>
  <si>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</si>
  <si>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</si>
  <si>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</si>
  <si>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</si>
  <si>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</si>
  <si>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</si>
  <si>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</si>
  <si>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</si>
  <si>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</si>
  <si>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</si>
  <si>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</si>
  <si>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</si>
  <si>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</si>
  <si>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</si>
  <si>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</si>
  <si>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</si>
  <si>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</si>
  <si>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</si>
  <si>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</si>
  <si>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</si>
  <si>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</si>
  <si>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</si>
  <si>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</si>
  <si>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</si>
  <si>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</si>
  <si>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</si>
  <si>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</si>
  <si>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</si>
  <si>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</si>
  <si>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</si>
  <si>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</si>
  <si>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</si>
  <si>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</si>
  <si>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</si>
  <si>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</si>
  <si>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</si>
  <si>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</si>
  <si>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</si>
  <si>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</si>
  <si>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</si>
  <si>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</si>
  <si>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</si>
  <si>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</si>
  <si>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</si>
  <si>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</si>
  <si>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</si>
  <si>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</si>
  <si>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</si>
  <si>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</si>
  <si>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</si>
  <si>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</si>
  <si>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</si>
  <si>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</si>
  <si>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</si>
  <si>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</si>
  <si>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</si>
  <si>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</si>
  <si>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</si>
  <si>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</si>
  <si>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</si>
  <si>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</si>
  <si>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State:</t>
  </si>
  <si>
    <t>Contact Person:</t>
  </si>
  <si>
    <t>Phone:</t>
  </si>
  <si>
    <t>Ext.:</t>
  </si>
  <si>
    <t>Fax:</t>
  </si>
  <si>
    <t>both nonprofits</t>
  </si>
  <si>
    <t xml:space="preserve">Email: </t>
  </si>
  <si>
    <t>welton.jordan@eahhousing.org</t>
  </si>
  <si>
    <t>Legal Status of Applicant:</t>
  </si>
  <si>
    <t>Parent Company:</t>
  </si>
  <si>
    <t>EAH Inc.</t>
  </si>
  <si>
    <t>If Other, Specify:</t>
  </si>
  <si>
    <t>both for-profit</t>
  </si>
  <si>
    <t>General Partner(s) Information (post-closing GPs):</t>
  </si>
  <si>
    <t>D(1)</t>
  </si>
  <si>
    <t>General Partner Name:</t>
  </si>
  <si>
    <t>Greenfield EAH II, LLC</t>
  </si>
  <si>
    <t>Managing GP</t>
  </si>
  <si>
    <t>OWNERSHIP</t>
  </si>
  <si>
    <t>Nonprofit</t>
  </si>
  <si>
    <t>CA</t>
  </si>
  <si>
    <t>INTEREST (%):</t>
  </si>
  <si>
    <t>currently exists</t>
  </si>
  <si>
    <t>to be formed</t>
  </si>
  <si>
    <t>For Profit</t>
  </si>
  <si>
    <t>415-295-8876</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</si>
  <si>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</si>
  <si>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</si>
  <si>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</si>
  <si>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</si>
  <si>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</si>
  <si>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</si>
  <si>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</si>
  <si>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</si>
  <si>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</si>
  <si>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</si>
  <si>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</si>
  <si>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</si>
  <si>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Michael Schaier</t>
  </si>
  <si>
    <t>415-295-8854</t>
  </si>
  <si>
    <t>michael.schaier@eahhousing.org</t>
  </si>
  <si>
    <t>Participatory Role:</t>
  </si>
  <si>
    <t>(e.g., General Partner, Consultant, etc.)</t>
  </si>
  <si>
    <t>II. APPLICATION - SECTION 4: DEVELOPMENT TEAM INFORMATION</t>
  </si>
  <si>
    <t>Indicate and List All Development Team Members</t>
  </si>
  <si>
    <t>Developer:</t>
  </si>
  <si>
    <t>Architect:</t>
  </si>
  <si>
    <t>HED</t>
  </si>
  <si>
    <t>Address:</t>
  </si>
  <si>
    <t xml:space="preserve">22 Pelican Way </t>
  </si>
  <si>
    <t>601 S. Figueroa Street</t>
  </si>
  <si>
    <t>City, State, Zip</t>
  </si>
  <si>
    <t>San Rafael, CA, 94901</t>
  </si>
  <si>
    <t>City, State, Zip:</t>
  </si>
  <si>
    <t>Los Angeles, CA 90017</t>
  </si>
  <si>
    <t xml:space="preserve">Welton Jordan </t>
  </si>
  <si>
    <t>Jerome Odell</t>
  </si>
  <si>
    <t>(415)295-8876</t>
  </si>
  <si>
    <t>(213)542-4522</t>
  </si>
  <si>
    <t>Email:</t>
  </si>
  <si>
    <t>jodell@hed.design</t>
  </si>
  <si>
    <t>Attorney:</t>
  </si>
  <si>
    <t>Bocarsly Emden Cowan Esmail &amp; Arndt LLP</t>
  </si>
  <si>
    <t>General Contractor:</t>
  </si>
  <si>
    <t>Huff Construction Inc</t>
  </si>
  <si>
    <t>633 West Fifth Street, 64th Floor</t>
  </si>
  <si>
    <t xml:space="preserve">4917 Stoddard Road </t>
  </si>
  <si>
    <t>Los Angeles, CA 90071</t>
  </si>
  <si>
    <t>Modesto, CA 95356</t>
  </si>
  <si>
    <t>Nicole Deddens</t>
  </si>
  <si>
    <t>Larry Nelson</t>
  </si>
  <si>
    <t>213.239.8029</t>
  </si>
  <si>
    <t xml:space="preserve">209.545.7505 </t>
  </si>
  <si>
    <t xml:space="preserve">213.559.0747 </t>
  </si>
  <si>
    <t>ndeddens@bocarsly.com</t>
  </si>
  <si>
    <t>larry@huffcon.com</t>
  </si>
  <si>
    <t>Tax Professional:</t>
  </si>
  <si>
    <t>Energy Consultant:</t>
  </si>
  <si>
    <t>Partner Energy</t>
  </si>
  <si>
    <t>2154 Torrance Blvd</t>
  </si>
  <si>
    <t>Torrance, CA 90501</t>
  </si>
  <si>
    <t>Kyle Brumfitt</t>
  </si>
  <si>
    <t>(310)622-8854</t>
  </si>
  <si>
    <t>(310)862-2399</t>
  </si>
  <si>
    <t>KBrumfitt@ptrenergy.com</t>
  </si>
  <si>
    <t>CPA:</t>
  </si>
  <si>
    <t>Aprio, LLP</t>
  </si>
  <si>
    <t>Investor:</t>
  </si>
  <si>
    <t>TBD</t>
  </si>
  <si>
    <t>2185 N California BLVD </t>
  </si>
  <si>
    <t>Walnut Creek, CA 94596</t>
  </si>
  <si>
    <t xml:space="preserve">
Roza Chan		 </t>
  </si>
  <si>
    <t>925‑238‑7157</t>
  </si>
  <si>
    <t>roza.chan@aprio.com</t>
  </si>
  <si>
    <t>Consultant:</t>
  </si>
  <si>
    <t>Community Economics Inc.</t>
  </si>
  <si>
    <t>Market Analyst:</t>
  </si>
  <si>
    <t>The Concord Group</t>
  </si>
  <si>
    <t>538 9th Street</t>
  </si>
  <si>
    <t>180 Montgomery Suite 2350</t>
  </si>
  <si>
    <t>Oakland, CA 94607</t>
  </si>
  <si>
    <t>San Francisco, CA 94108</t>
  </si>
  <si>
    <t>Diana Downton</t>
  </si>
  <si>
    <t xml:space="preserve">Tim M. Cornwell </t>
  </si>
  <si>
    <t>(510)832-8300</t>
  </si>
  <si>
    <t>(415)397-5490</t>
  </si>
  <si>
    <t>diana@communityeconomics.org</t>
  </si>
  <si>
    <t>tmc@theconcordgroup.com</t>
  </si>
  <si>
    <t>Appraiser:</t>
  </si>
  <si>
    <t>James G. Palmer Appraisals Inc.</t>
  </si>
  <si>
    <t>CNA Consultant:</t>
  </si>
  <si>
    <t>1285 W. Shaw, Suite 108</t>
  </si>
  <si>
    <t>Fresno, CA 93711</t>
  </si>
  <si>
    <t>Gregg J. Palmer</t>
  </si>
  <si>
    <t>(559)226-5020</t>
  </si>
  <si>
    <t>(559)226-5063</t>
  </si>
  <si>
    <t>jgpinc.com</t>
  </si>
  <si>
    <t>Bond Issuer:</t>
  </si>
  <si>
    <t>California Municipal Finance Authority</t>
  </si>
  <si>
    <t>Prop. Mgmt. Co.:</t>
  </si>
  <si>
    <t>2111 Palomar Airport Rd, Suite 320</t>
  </si>
  <si>
    <t>Carlsbad, CA 92011</t>
  </si>
  <si>
    <t>Anthony Stubbs</t>
  </si>
  <si>
    <t>Kasey Archey</t>
  </si>
  <si>
    <t>(760)930-1333</t>
  </si>
  <si>
    <t xml:space="preserve">(415) 295-8802 </t>
  </si>
  <si>
    <t>(760)683-3390</t>
  </si>
  <si>
    <t>astubbs@cmfa-ca.com</t>
  </si>
  <si>
    <t>kasey.archey@eahhousing.org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</si>
  <si>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</si>
  <si>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</si>
  <si>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</si>
  <si>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</si>
  <si>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</si>
  <si>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</si>
  <si>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</si>
  <si>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</si>
  <si>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</si>
  <si>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</si>
  <si>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</si>
  <si>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</si>
  <si>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</si>
  <si>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</si>
  <si>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</si>
  <si>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</si>
  <si>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</si>
  <si>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</si>
  <si>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</si>
  <si>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</si>
  <si>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</si>
  <si>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</si>
  <si>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</si>
  <si>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</si>
  <si>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</si>
  <si>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</si>
  <si>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</si>
  <si>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</si>
  <si>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</si>
  <si>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</si>
  <si>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</si>
  <si>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</si>
  <si>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</si>
  <si>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Greenfield Commons EAH, LLC</t>
  </si>
  <si>
    <t>Signatory of Seller:</t>
  </si>
  <si>
    <t>Seller Principal:</t>
  </si>
  <si>
    <t>Assistant Secretary</t>
  </si>
  <si>
    <t>Seller Address:</t>
  </si>
  <si>
    <t>22 Pelican Way, San Rafael CA 94901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</si>
  <si>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</si>
  <si>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</si>
  <si>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</si>
  <si>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</si>
  <si>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</si>
  <si>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</si>
  <si>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</si>
  <si>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</si>
  <si>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</si>
  <si>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</si>
  <si>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</si>
  <si>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</si>
  <si>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</si>
  <si>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</si>
  <si>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</si>
  <si>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</si>
  <si>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</si>
  <si>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</si>
  <si>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</si>
  <si>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</si>
  <si>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</si>
  <si>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</si>
  <si>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</si>
  <si>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</si>
  <si>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</si>
  <si>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</si>
  <si>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</si>
  <si>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</si>
  <si>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</si>
  <si>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</si>
  <si>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</si>
  <si>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</si>
  <si>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</si>
  <si>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</si>
  <si>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</si>
  <si>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</si>
  <si>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</si>
  <si>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</si>
  <si>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</si>
  <si>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</si>
  <si>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</si>
  <si>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</si>
  <si>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</si>
  <si>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</si>
  <si>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</si>
  <si>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</si>
  <si>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</si>
  <si>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</si>
  <si>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</si>
  <si>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</si>
  <si>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</si>
  <si>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</si>
  <si>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</si>
  <si>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</si>
  <si>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</si>
  <si>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</si>
  <si>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</si>
  <si>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</si>
  <si>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</si>
  <si>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</si>
  <si>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</si>
  <si>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</si>
  <si>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</si>
  <si>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</si>
  <si>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</si>
  <si>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</si>
  <si>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</si>
  <si>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</si>
  <si>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</si>
  <si>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</si>
  <si>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</si>
  <si>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</si>
  <si>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</si>
  <si>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</si>
  <si>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</si>
  <si>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</si>
  <si>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</si>
  <si>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</si>
  <si>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</si>
  <si>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</si>
  <si>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</si>
  <si>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</si>
  <si>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</si>
  <si>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</si>
  <si>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Vacant/Un-Developed</t>
  </si>
  <si>
    <t>Current Zoning and Maximum Density</t>
  </si>
  <si>
    <t>R-M; Residential Medium Density</t>
  </si>
  <si>
    <t>Proposed Zoning and Maximum Density</t>
  </si>
  <si>
    <t>Occupancy restrictions that run with the land due to CUP’s or density bonuses?</t>
  </si>
  <si>
    <t>(if yes, explain here)</t>
  </si>
  <si>
    <t>Subject to Inclusionary Zoning?</t>
  </si>
  <si>
    <t>Building Height Requirements</t>
  </si>
  <si>
    <t>Height Limit: 35' for primary structures, 16' for accessory</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</si>
  <si>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</si>
  <si>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</si>
  <si>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</si>
  <si>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</si>
  <si>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</si>
  <si>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</si>
  <si>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</si>
  <si>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</si>
  <si>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</si>
  <si>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</si>
  <si>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</si>
  <si>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</si>
  <si>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</si>
  <si>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</si>
  <si>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</si>
  <si>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</si>
  <si>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</si>
  <si>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</si>
  <si>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</si>
  <si>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</si>
  <si>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</si>
  <si>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</si>
  <si>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</si>
  <si>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</si>
  <si>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</si>
  <si>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</si>
  <si>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</si>
  <si>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</si>
  <si>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</si>
  <si>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</si>
  <si>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</si>
  <si>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</si>
  <si>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</si>
  <si>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</si>
  <si>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</si>
  <si>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Joe Serna Jr. Farmworker Housing Grant Fund</t>
  </si>
  <si>
    <t>Equity, Other Investor</t>
  </si>
  <si>
    <t>Grant</t>
  </si>
  <si>
    <t>Closing or Award</t>
  </si>
  <si>
    <t>Loan, Conventional</t>
  </si>
  <si>
    <t xml:space="preserve">Type and Source: </t>
  </si>
  <si>
    <t>HCD: Multifamily Super NOFA (VHHP)</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</si>
  <si>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</si>
  <si>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</si>
  <si>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</si>
  <si>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</si>
  <si>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</si>
  <si>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</si>
  <si>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</si>
  <si>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</si>
  <si>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</si>
  <si>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</si>
  <si>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</si>
  <si>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</si>
  <si>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</si>
  <si>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</si>
  <si>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</si>
  <si>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</si>
  <si>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</si>
  <si>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</si>
  <si>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</si>
  <si>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</si>
  <si>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</si>
  <si>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</si>
  <si>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</si>
  <si>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</si>
  <si>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</si>
  <si>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</si>
  <si>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</si>
  <si>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</si>
  <si>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</si>
  <si>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</si>
  <si>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</si>
  <si>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 Bank Construction Loan - Tax-exempt</t>
  </si>
  <si>
    <t>Variable</t>
  </si>
  <si>
    <t>Key Bank Construction Loan - Taxable</t>
  </si>
  <si>
    <t>HCD Joe Serna, Jr. FWHG</t>
  </si>
  <si>
    <t>Fixed</t>
  </si>
  <si>
    <t>Accrued Soft Loan Interest</t>
  </si>
  <si>
    <t>GP Equity</t>
  </si>
  <si>
    <t>6)</t>
  </si>
  <si>
    <t>LP Equity</t>
  </si>
  <si>
    <t>7)</t>
  </si>
  <si>
    <t>Deferred Developer Fee</t>
  </si>
  <si>
    <t>8)</t>
  </si>
  <si>
    <t>Costs Deferred to Perm Conversion</t>
  </si>
  <si>
    <t>9)</t>
  </si>
  <si>
    <t>10)</t>
  </si>
  <si>
    <t>11)</t>
  </si>
  <si>
    <t>12)</t>
  </si>
  <si>
    <t>Total Funds For Construction:</t>
  </si>
  <si>
    <t>Lender/Source:</t>
  </si>
  <si>
    <t>127 Public Square</t>
  </si>
  <si>
    <t>Cleveland, Ohio 44114</t>
  </si>
  <si>
    <t>Contact Name:</t>
  </si>
  <si>
    <t>Mathew Haas</t>
  </si>
  <si>
    <t>(310)869-1858</t>
  </si>
  <si>
    <t>Type of Financing:</t>
  </si>
  <si>
    <t>Loan</t>
  </si>
  <si>
    <t>Variable Rate Index (if applicable):</t>
  </si>
  <si>
    <t>Is the Lender/Source Committed?</t>
  </si>
  <si>
    <t>2020 W. El Camino Avenue, Suite 670</t>
  </si>
  <si>
    <t>Sacramento, CA 95833</t>
  </si>
  <si>
    <t>Sumeet Saini</t>
  </si>
  <si>
    <t>(916)820-1494</t>
  </si>
  <si>
    <t>loan</t>
  </si>
  <si>
    <t>San Rafael, CA 94901</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</si>
  <si>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</si>
  <si>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</si>
  <si>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</si>
  <si>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</si>
  <si>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</si>
  <si>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</si>
  <si>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 Bank Permanent Mortgage</t>
  </si>
  <si>
    <t>Required</t>
  </si>
  <si>
    <t>Residual</t>
  </si>
  <si>
    <t>HCD VHHP</t>
  </si>
  <si>
    <t>Deferred</t>
  </si>
  <si>
    <t>Total Permanent Financing:</t>
  </si>
  <si>
    <t>Total Tax Credit Equity:</t>
  </si>
  <si>
    <t>Total Sources of Project Funds:</t>
  </si>
  <si>
    <t>Barbara Sargent</t>
  </si>
  <si>
    <t>(916)820-1285</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</si>
  <si>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</si>
  <si>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</si>
  <si>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</si>
  <si>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</si>
  <si>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</si>
  <si>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</si>
  <si>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</si>
  <si>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</si>
  <si>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</si>
  <si>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</si>
  <si>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</si>
  <si>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</si>
  <si>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</si>
  <si>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</si>
  <si>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</si>
  <si>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</si>
  <si>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</si>
  <si>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</si>
  <si>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</si>
  <si>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</si>
  <si>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</si>
  <si>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</si>
  <si>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</si>
  <si>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</si>
  <si>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</si>
  <si>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</si>
  <si>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</si>
  <si>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</si>
  <si>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</si>
  <si>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</si>
  <si>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</si>
  <si>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</si>
  <si>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</si>
  <si>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Veterans</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</si>
  <si>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</si>
  <si>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</si>
  <si>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</si>
  <si>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</si>
  <si>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</si>
  <si>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</si>
  <si>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</si>
  <si>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</si>
  <si>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</si>
  <si>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</si>
  <si>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</si>
  <si>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</si>
  <si>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</si>
  <si>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</si>
  <si>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</si>
  <si>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</si>
  <si>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</si>
  <si>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</si>
  <si>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</si>
  <si>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</si>
  <si>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</si>
  <si>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</si>
  <si>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</si>
  <si>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</si>
  <si>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</si>
  <si>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</si>
  <si>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</si>
  <si>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</si>
  <si>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</si>
  <si>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</si>
  <si>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</si>
  <si>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</si>
  <si>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</si>
  <si>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</si>
  <si>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</si>
  <si>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</si>
  <si>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</si>
  <si>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</si>
  <si>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</si>
  <si>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</si>
  <si>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</si>
  <si>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</si>
  <si>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</si>
  <si>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</si>
  <si>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</si>
  <si>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</si>
  <si>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</si>
  <si>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</si>
  <si>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</si>
  <si>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</si>
  <si>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</si>
  <si>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</si>
  <si>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</si>
  <si>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</si>
  <si>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</si>
  <si>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 &amp; Air Conditioning</t>
  </si>
  <si>
    <t>*PROJECTS PROPOSING UNITS WITH INDIVIDUAL WATER METERS MUST INCLUDE A WATER</t>
  </si>
  <si>
    <t>ALLOWANCE.</t>
  </si>
  <si>
    <t>Name of PHA or California Energy Commission Providing Utility Allowances:</t>
  </si>
  <si>
    <t>California Energy Commission</t>
  </si>
  <si>
    <t>See Regulation Section 10322(h)(21) for type of projects that are allowed to use CUAC.</t>
  </si>
  <si>
    <t>Annual Residential Operating Expenses</t>
  </si>
  <si>
    <t xml:space="preserve"> Administrative</t>
  </si>
  <si>
    <t>Advertising:</t>
  </si>
  <si>
    <t>Legal:</t>
  </si>
  <si>
    <t>Accounting/Audit:</t>
  </si>
  <si>
    <t>Security:</t>
  </si>
  <si>
    <t>Bad Debts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</si>
  <si>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</si>
  <si>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</si>
  <si>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</si>
  <si>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</si>
  <si>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</si>
  <si>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</si>
  <si>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</si>
  <si>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</si>
  <si>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</si>
  <si>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</si>
  <si>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</si>
  <si>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</si>
  <si>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</si>
  <si>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 Taxes/Benefits</t>
  </si>
  <si>
    <t>Total Payroll / Payroll Taxes:</t>
  </si>
  <si>
    <t>Insurance</t>
  </si>
  <si>
    <t>Total Insurance:</t>
  </si>
  <si>
    <t>Painting:</t>
  </si>
  <si>
    <t>Repairs:</t>
  </si>
  <si>
    <t>Trash Removal:</t>
  </si>
  <si>
    <t>Exterminating:</t>
  </si>
  <si>
    <t>Grounds:</t>
  </si>
  <si>
    <t>Elevator:</t>
  </si>
  <si>
    <t>Fire Supression</t>
  </si>
  <si>
    <t>Total Maintenance:</t>
  </si>
  <si>
    <t>Other Operating</t>
  </si>
  <si>
    <t>IT, Computer, Equipment, Office Supplies</t>
  </si>
  <si>
    <t>Expenses</t>
  </si>
  <si>
    <t>Conventions, Seminars, Training</t>
  </si>
  <si>
    <t>Misc Tax and 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</si>
  <si>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</si>
  <si>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</si>
  <si>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</si>
  <si>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</si>
  <si>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</si>
  <si>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</si>
  <si>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</si>
  <si>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</si>
  <si>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</si>
  <si>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</si>
  <si>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</si>
  <si>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</si>
  <si>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</si>
  <si>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Case Management for Special Needs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</si>
  <si>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</si>
  <si>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</si>
  <si>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</si>
  <si>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</si>
  <si>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</si>
  <si>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</si>
  <si>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</si>
  <si>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</si>
  <si>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</si>
  <si>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</si>
  <si>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</si>
  <si>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</si>
  <si>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</si>
  <si>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</si>
  <si>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</si>
  <si>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</si>
  <si>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</si>
  <si>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</si>
  <si>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</si>
  <si>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</si>
  <si>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</si>
  <si>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</si>
  <si>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</si>
  <si>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</si>
  <si>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</si>
  <si>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</si>
  <si>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</si>
  <si>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</si>
  <si>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</si>
  <si>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</si>
  <si>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</si>
  <si>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</si>
  <si>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</si>
  <si>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</si>
  <si>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</si>
  <si>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</si>
  <si>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</si>
  <si>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</si>
  <si>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 xml:space="preserve">National Housing Trust Fund (HTF) </t>
  </si>
  <si>
    <t>FHLB AHP</t>
  </si>
  <si>
    <t xml:space="preserve">Qualified Opportunity Zone Investment </t>
  </si>
  <si>
    <t>FHA Insurance</t>
  </si>
  <si>
    <t>FHA Risk Sharing loan?</t>
  </si>
  <si>
    <t>Federal:</t>
  </si>
  <si>
    <t>HCD Joe Serna, Jr FWHG</t>
  </si>
  <si>
    <t>Local:</t>
  </si>
  <si>
    <t>Indicate By Percent Of Units Affected, Any Rental Subsidy Expected To Be Available To The Project.</t>
  </si>
  <si>
    <t>Approval Date:</t>
  </si>
  <si>
    <t>Source:</t>
  </si>
  <si>
    <t>Section 8</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</si>
  <si>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</si>
  <si>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</si>
  <si>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</si>
  <si>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</si>
  <si>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</si>
  <si>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</si>
  <si>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</si>
  <si>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</si>
  <si>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</si>
  <si>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</si>
  <si>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</si>
  <si>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</si>
  <si>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</si>
  <si>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</si>
  <si>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</si>
  <si>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</si>
  <si>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</si>
  <si>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</si>
  <si>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</si>
  <si>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</si>
  <si>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</si>
  <si>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</si>
  <si>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</si>
  <si>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</si>
  <si>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</si>
  <si>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</si>
  <si>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</si>
  <si>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</si>
  <si>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</si>
  <si>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</si>
  <si>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</si>
  <si>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</si>
  <si>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</si>
  <si>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</si>
  <si>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</si>
  <si>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</si>
  <si>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</si>
  <si>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</si>
  <si>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</si>
  <si>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</si>
  <si>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</si>
  <si>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</si>
  <si>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</si>
  <si>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</si>
  <si>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</si>
  <si>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</si>
  <si>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</si>
  <si>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</si>
  <si>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</si>
  <si>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</si>
  <si>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</si>
  <si>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</si>
  <si>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</si>
  <si>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</si>
  <si>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</si>
  <si>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</si>
  <si>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</si>
  <si>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</si>
  <si>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</si>
  <si>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</si>
  <si>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</si>
  <si>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</si>
  <si>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</si>
  <si>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</si>
  <si>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</si>
  <si>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</si>
  <si>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</si>
  <si>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</si>
  <si>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</si>
  <si>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</si>
  <si>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</si>
  <si>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</si>
  <si>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</si>
  <si>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</si>
  <si>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</si>
  <si>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</si>
  <si>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</si>
  <si>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</si>
  <si>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</si>
  <si>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</si>
  <si>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</si>
  <si>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</si>
  <si>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</si>
  <si>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</si>
  <si>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</si>
  <si>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</si>
  <si>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</si>
  <si>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</si>
  <si>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</si>
  <si>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</si>
  <si>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</si>
  <si>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</si>
  <si>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</si>
  <si>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</si>
  <si>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</si>
  <si>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</si>
  <si>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</si>
  <si>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</si>
  <si>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</si>
  <si>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</si>
  <si>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</si>
  <si>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</si>
  <si>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</si>
  <si>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</si>
  <si>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</si>
  <si>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</si>
  <si>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</si>
  <si>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</si>
  <si>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</si>
  <si>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</si>
  <si>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</si>
  <si>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</si>
  <si>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</si>
  <si>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</si>
  <si>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</si>
  <si>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</si>
  <si>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</si>
  <si>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</si>
  <si>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</si>
  <si>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</si>
  <si>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</si>
  <si>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</si>
  <si>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</si>
  <si>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</si>
  <si>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</si>
  <si>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</si>
  <si>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</si>
  <si>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</si>
  <si>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</si>
  <si>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</si>
  <si>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</si>
  <si>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</si>
  <si>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</si>
  <si>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</si>
  <si>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</si>
  <si>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</si>
  <si>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</si>
  <si>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</si>
  <si>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</si>
  <si>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</si>
  <si>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</si>
  <si>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</si>
  <si>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</si>
  <si>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</si>
  <si>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</si>
  <si>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</si>
  <si>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</si>
  <si>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</si>
  <si>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</si>
  <si>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</si>
  <si>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</si>
  <si>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</si>
  <si>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</si>
  <si>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</si>
  <si>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</si>
  <si>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</si>
  <si>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</si>
  <si>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</si>
  <si>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</si>
  <si>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</si>
  <si>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</si>
  <si>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</si>
  <si>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</si>
  <si>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(Soft Loan Accrued Interest)</t>
  </si>
  <si>
    <t>Total Construction Interest &amp; Fees</t>
  </si>
  <si>
    <t>Loan Origination Fee</t>
  </si>
  <si>
    <t>Other: (Lender Legal and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</si>
  <si>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</si>
  <si>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</si>
  <si>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</si>
  <si>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</si>
  <si>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</si>
  <si>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</si>
  <si>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</si>
  <si>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</si>
  <si>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</si>
  <si>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</si>
  <si>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</si>
  <si>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</si>
  <si>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</si>
  <si>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</si>
  <si>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Other: (HCD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</si>
  <si>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</si>
  <si>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</si>
  <si>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</si>
  <si>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</si>
  <si>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</si>
  <si>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</si>
  <si>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</si>
  <si>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</si>
  <si>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</si>
  <si>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</si>
  <si>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</si>
  <si>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</si>
  <si>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</si>
  <si>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</si>
  <si>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</si>
  <si>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</si>
  <si>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</si>
  <si>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</si>
  <si>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</si>
  <si>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</si>
  <si>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</si>
  <si>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</si>
  <si>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</si>
  <si>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</si>
  <si>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</si>
  <si>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</si>
  <si>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</si>
  <si>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</si>
  <si>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</si>
  <si>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</si>
  <si>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</si>
  <si>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</si>
  <si>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</si>
  <si>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</si>
  <si>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</si>
  <si>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</si>
  <si>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</si>
  <si>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</si>
  <si>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</si>
  <si>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</si>
  <si>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</si>
  <si>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</si>
  <si>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</si>
  <si>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</si>
  <si>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</si>
  <si>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</si>
  <si>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</si>
  <si>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</si>
  <si>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</si>
  <si>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</si>
  <si>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</si>
  <si>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</si>
  <si>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</si>
  <si>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</si>
  <si>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</si>
  <si>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</si>
  <si>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</si>
  <si>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</si>
  <si>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</si>
  <si>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</si>
  <si>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</si>
  <si>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</si>
  <si>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</si>
  <si>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</si>
  <si>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</si>
  <si>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</si>
  <si>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</si>
  <si>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</si>
  <si>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</si>
  <si>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</si>
  <si>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</si>
  <si>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</si>
  <si>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</si>
  <si>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</si>
  <si>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</si>
  <si>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</si>
  <si>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</si>
  <si>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</si>
  <si>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</si>
  <si>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</si>
  <si>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</si>
  <si>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</si>
  <si>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</si>
  <si>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</si>
  <si>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</si>
  <si>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</si>
  <si>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</si>
  <si>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</si>
  <si>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</si>
  <si>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</si>
  <si>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</si>
  <si>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</si>
  <si>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</si>
  <si>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</si>
  <si>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</si>
  <si>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</si>
  <si>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</si>
  <si>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</si>
  <si>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</si>
  <si>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</si>
  <si>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</si>
  <si>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</si>
  <si>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</si>
  <si>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</si>
  <si>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</si>
  <si>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</si>
  <si>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</si>
  <si>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</si>
  <si>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</si>
  <si>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</si>
  <si>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</si>
  <si>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</si>
  <si>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</si>
  <si>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</si>
  <si>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</si>
  <si>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</si>
  <si>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</si>
  <si>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</si>
  <si>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</si>
  <si>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</si>
  <si>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</si>
  <si>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</si>
  <si>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</si>
  <si>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</si>
  <si>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</si>
  <si>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</si>
  <si>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</si>
  <si>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</si>
  <si>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</si>
  <si>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</si>
  <si>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</si>
  <si>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</si>
  <si>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</si>
  <si>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</si>
  <si>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</si>
  <si>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</si>
  <si>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</si>
  <si>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</si>
  <si>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</si>
  <si>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</si>
  <si>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</si>
  <si>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</si>
  <si>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</si>
  <si>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</si>
  <si>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</si>
  <si>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</si>
  <si>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</si>
  <si>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</si>
  <si>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</si>
  <si>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</si>
  <si>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</si>
  <si>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</si>
  <si>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</si>
  <si>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</si>
  <si>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</si>
  <si>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</si>
  <si>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</si>
  <si>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</si>
  <si>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</si>
  <si>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</si>
  <si>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</si>
  <si>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</si>
  <si>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</si>
  <si>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</si>
  <si>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</si>
  <si>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</si>
  <si>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</si>
  <si>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</si>
  <si>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</si>
  <si>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</si>
  <si>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</si>
  <si>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</si>
  <si>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</si>
  <si>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</si>
  <si>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</si>
  <si>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</si>
  <si>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</si>
  <si>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</si>
  <si>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</si>
  <si>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</si>
  <si>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</si>
  <si>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</si>
  <si>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</si>
  <si>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</si>
  <si>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</si>
  <si>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</si>
  <si>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</si>
  <si>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</si>
  <si>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</si>
  <si>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</si>
  <si>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</si>
  <si>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</si>
  <si>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</si>
  <si>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</si>
  <si>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</si>
  <si>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</si>
  <si>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</si>
  <si>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</si>
  <si>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</si>
  <si>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</si>
  <si>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</si>
  <si>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</si>
  <si>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</si>
  <si>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</si>
  <si>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</si>
  <si>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</si>
  <si>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</si>
  <si>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</si>
  <si>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</si>
  <si>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</si>
  <si>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</si>
  <si>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</si>
  <si>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</si>
  <si>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</si>
  <si>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</si>
  <si>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</si>
  <si>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</si>
  <si>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</si>
  <si>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</si>
  <si>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</si>
  <si>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</si>
  <si>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</si>
  <si>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</si>
  <si>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</si>
  <si>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</si>
  <si>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</si>
  <si>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</si>
  <si>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</si>
  <si>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</si>
  <si>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</si>
  <si>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</si>
  <si>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</si>
  <si>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</si>
  <si>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</si>
  <si>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</si>
  <si>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</si>
  <si>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</si>
  <si>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</si>
  <si>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</si>
  <si>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</si>
  <si>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</si>
  <si>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</si>
  <si>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</si>
  <si>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</si>
  <si>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</si>
  <si>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</si>
  <si>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</si>
  <si>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</si>
  <si>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</si>
  <si>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</si>
  <si>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</si>
  <si>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</si>
  <si>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</si>
  <si>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</si>
  <si>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</si>
  <si>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</si>
  <si>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</si>
  <si>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</si>
  <si>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</si>
  <si>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</si>
  <si>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</si>
  <si>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</si>
  <si>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</si>
  <si>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</si>
  <si>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</si>
  <si>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</si>
  <si>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</si>
  <si>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</si>
  <si>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</si>
  <si>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</si>
  <si>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</si>
  <si>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</si>
  <si>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</si>
  <si>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</si>
  <si>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</si>
  <si>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</si>
  <si>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</si>
  <si>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</si>
  <si>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</si>
  <si>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</si>
  <si>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</si>
  <si>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</si>
  <si>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</si>
  <si>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</si>
  <si>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</si>
  <si>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</si>
  <si>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</si>
  <si>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</si>
  <si>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</si>
  <si>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</si>
  <si>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</si>
  <si>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</si>
  <si>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</si>
  <si>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</si>
  <si>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</si>
  <si>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</si>
  <si>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</si>
  <si>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</si>
  <si>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</si>
  <si>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</si>
  <si>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</si>
  <si>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</si>
  <si>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</si>
  <si>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</si>
  <si>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</si>
  <si>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</si>
  <si>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</si>
  <si>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</si>
  <si>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</si>
  <si>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</si>
  <si>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</si>
  <si>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</si>
  <si>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</si>
  <si>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</si>
  <si>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</si>
  <si>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</si>
  <si>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</si>
  <si>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</si>
  <si>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</si>
  <si>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</si>
  <si>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</si>
  <si>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</si>
  <si>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</si>
  <si>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</si>
  <si>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</si>
  <si>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</si>
  <si>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</si>
  <si>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</si>
  <si>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</si>
  <si>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</si>
  <si>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</si>
  <si>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</si>
  <si>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</si>
  <si>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</si>
  <si>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</si>
  <si>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</si>
  <si>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</si>
  <si>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</si>
  <si>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</si>
  <si>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</si>
  <si>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</si>
  <si>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</si>
  <si>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</si>
  <si>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</si>
  <si>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</si>
  <si>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</si>
  <si>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</si>
  <si>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</si>
  <si>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</si>
  <si>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</si>
  <si>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</si>
  <si>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</si>
  <si>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</si>
  <si>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</si>
  <si>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</si>
  <si>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</si>
  <si>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</si>
  <si>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</si>
  <si>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</si>
  <si>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</si>
  <si>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</si>
  <si>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</si>
  <si>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</si>
  <si>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</si>
  <si>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</si>
  <si>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</si>
  <si>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</si>
  <si>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</si>
  <si>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</si>
  <si>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</si>
  <si>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</si>
  <si>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</si>
  <si>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</si>
  <si>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</si>
  <si>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</si>
  <si>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</si>
  <si>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</si>
  <si>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</si>
  <si>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</si>
  <si>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</si>
  <si>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</si>
  <si>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</si>
  <si>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</si>
  <si>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</si>
  <si>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</si>
  <si>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</si>
  <si>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</si>
  <si>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</si>
  <si>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</si>
  <si>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</si>
  <si>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</si>
  <si>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</si>
  <si>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</si>
  <si>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</si>
  <si>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</si>
  <si>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</si>
  <si>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</si>
  <si>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</si>
  <si>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</si>
  <si>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</si>
  <si>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</si>
  <si>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</si>
  <si>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</si>
  <si>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</si>
  <si>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</si>
  <si>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</si>
  <si>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</si>
  <si>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</si>
  <si>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</si>
  <si>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</si>
  <si>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</si>
  <si>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</si>
  <si>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</si>
  <si>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</si>
  <si>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</si>
  <si>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</si>
  <si>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</si>
  <si>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</si>
  <si>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</si>
  <si>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</si>
  <si>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</si>
  <si>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</si>
  <si>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</si>
  <si>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</si>
  <si>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</si>
  <si>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</si>
  <si>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</si>
  <si>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</si>
  <si>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</si>
  <si>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</si>
  <si>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</si>
  <si>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</si>
  <si>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</si>
  <si>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</si>
  <si>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</si>
  <si>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</si>
  <si>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</si>
  <si>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</si>
  <si>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</si>
  <si>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</si>
  <si>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</si>
  <si>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</si>
  <si>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</si>
  <si>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</si>
  <si>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</si>
  <si>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</si>
  <si>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</si>
  <si>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</si>
  <si>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</si>
  <si>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</si>
  <si>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</si>
  <si>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</si>
  <si>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</si>
  <si>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</si>
  <si>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</si>
  <si>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</si>
  <si>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</si>
  <si>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</si>
  <si>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</si>
  <si>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</si>
  <si>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</si>
  <si>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</si>
  <si>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</si>
  <si>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</si>
  <si>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</si>
  <si>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</si>
  <si>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</si>
  <si>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</si>
  <si>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</si>
  <si>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</si>
  <si>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</si>
  <si>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</si>
  <si>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</si>
  <si>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</si>
  <si>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</si>
  <si>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</si>
  <si>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</si>
  <si>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</si>
  <si>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</si>
  <si>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</si>
  <si>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</si>
  <si>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</si>
  <si>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</si>
  <si>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</si>
  <si>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</si>
  <si>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</si>
  <si>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</si>
  <si>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</si>
  <si>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</si>
  <si>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</si>
  <si>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</si>
  <si>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</si>
  <si>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</si>
  <si>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</si>
  <si>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</si>
  <si>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</si>
  <si>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</si>
  <si>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</si>
  <si>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</si>
  <si>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</si>
  <si>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</si>
  <si>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</si>
  <si>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</si>
  <si>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</si>
  <si>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</si>
  <si>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</si>
  <si>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</si>
  <si>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</si>
  <si>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</si>
  <si>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</si>
  <si>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</si>
  <si>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</si>
  <si>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</si>
  <si>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</si>
  <si>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</si>
  <si>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</si>
  <si>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</si>
  <si>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</si>
  <si>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</si>
  <si>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</si>
  <si>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</si>
  <si>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</si>
  <si>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</si>
  <si>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</si>
  <si>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</si>
  <si>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</si>
  <si>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</si>
  <si>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</si>
  <si>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</si>
  <si>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</si>
  <si>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</si>
  <si>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</si>
  <si>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</si>
  <si>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</si>
  <si>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</si>
  <si>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</si>
  <si>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</si>
  <si>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</si>
  <si>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</si>
  <si>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</si>
  <si>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</si>
  <si>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</si>
  <si>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</si>
  <si>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</si>
  <si>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</si>
  <si>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</si>
  <si>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</si>
  <si>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</si>
  <si>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</si>
  <si>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</si>
  <si>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</si>
  <si>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</si>
  <si>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</si>
  <si>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</si>
  <si>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</si>
  <si>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</si>
  <si>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</si>
  <si>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</si>
  <si>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</si>
  <si>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</si>
  <si>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</si>
  <si>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</si>
  <si>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</si>
  <si>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</si>
  <si>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</si>
  <si>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</si>
  <si>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</si>
  <si>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</si>
  <si>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</si>
  <si>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</si>
  <si>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</si>
  <si>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</si>
  <si>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</si>
  <si>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</si>
  <si>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</si>
  <si>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</si>
  <si>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</si>
  <si>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</si>
  <si>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</si>
  <si>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</si>
  <si>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</si>
  <si>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</si>
  <si>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</si>
  <si>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</si>
  <si>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</si>
  <si>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</si>
  <si>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</si>
  <si>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</si>
  <si>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</si>
  <si>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</si>
  <si>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</si>
  <si>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</si>
  <si>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</si>
  <si>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</si>
  <si>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</si>
  <si>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</si>
  <si>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</si>
  <si>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</si>
  <si>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</si>
  <si>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</si>
  <si>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</si>
  <si>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</si>
  <si>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</si>
  <si>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</si>
  <si>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</si>
  <si>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</si>
  <si>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</si>
  <si>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</si>
  <si>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</si>
  <si>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</si>
  <si>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</si>
  <si>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</si>
  <si>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</si>
  <si>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</si>
  <si>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</si>
  <si>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</si>
  <si>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</si>
  <si>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</si>
  <si>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</si>
  <si>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</si>
  <si>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</si>
  <si>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</si>
  <si>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</si>
  <si>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</si>
  <si>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</si>
  <si>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</si>
  <si>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</si>
  <si>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</si>
  <si>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</si>
  <si>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</si>
  <si>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</si>
  <si>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</si>
  <si>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</si>
  <si>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</si>
  <si>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</si>
  <si>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</si>
  <si>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</si>
  <si>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</si>
  <si>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</si>
  <si>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</si>
  <si>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</si>
  <si>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</si>
  <si>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</si>
  <si>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</si>
  <si>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</si>
  <si>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</si>
  <si>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</si>
  <si>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</si>
  <si>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</si>
  <si>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</si>
  <si>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</si>
  <si>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</si>
  <si>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</si>
  <si>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</si>
  <si>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</si>
  <si>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</si>
  <si>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</si>
  <si>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</si>
  <si>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</si>
  <si>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</si>
  <si>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</si>
  <si>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</si>
  <si>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</si>
  <si>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</si>
  <si>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</si>
  <si>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</si>
  <si>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</si>
  <si>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</si>
  <si>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</si>
  <si>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</si>
  <si>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</si>
  <si>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</si>
  <si>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</si>
  <si>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</si>
  <si>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</si>
  <si>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</si>
  <si>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</si>
  <si>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</si>
  <si>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</si>
  <si>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</si>
  <si>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</si>
  <si>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</si>
  <si>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</si>
  <si>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</si>
  <si>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</si>
  <si>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</si>
  <si>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</si>
  <si>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</si>
  <si>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</si>
  <si>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</si>
  <si>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</si>
  <si>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</si>
  <si>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</si>
  <si>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</si>
  <si>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</si>
  <si>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</si>
  <si>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</si>
  <si>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</si>
  <si>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</si>
  <si>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</si>
  <si>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</si>
  <si>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</si>
  <si>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</si>
  <si>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</si>
  <si>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</si>
  <si>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</si>
  <si>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</si>
  <si>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</si>
  <si>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</si>
  <si>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</si>
  <si>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</si>
  <si>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</si>
  <si>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</si>
  <si>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</si>
  <si>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</si>
  <si>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</si>
  <si>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</si>
  <si>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</si>
  <si>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</si>
  <si>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</si>
  <si>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</si>
  <si>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</si>
  <si>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</si>
  <si>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</si>
  <si>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</si>
  <si>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</si>
  <si>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</si>
  <si>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</si>
  <si>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</si>
  <si>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</si>
  <si>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</si>
  <si>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</si>
  <si>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</si>
  <si>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</si>
  <si>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</si>
  <si>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</si>
  <si>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</si>
  <si>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</si>
  <si>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</si>
  <si>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</si>
  <si>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</si>
  <si>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</si>
  <si>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</si>
  <si>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</si>
  <si>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</si>
  <si>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</si>
  <si>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</si>
  <si>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</si>
  <si>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</si>
  <si>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</si>
  <si>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</si>
  <si>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</si>
  <si>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</si>
  <si>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</si>
  <si>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</si>
  <si>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</si>
  <si>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</si>
  <si>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</si>
  <si>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</si>
  <si>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</si>
  <si>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</si>
  <si>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</si>
  <si>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</si>
  <si>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</si>
  <si>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</si>
  <si>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</si>
  <si>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</si>
  <si>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</si>
  <si>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</si>
  <si>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</si>
  <si>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</si>
  <si>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</si>
  <si>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</si>
  <si>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</si>
  <si>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</si>
  <si>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</si>
  <si>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</si>
  <si>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</si>
  <si>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</si>
  <si>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</si>
  <si>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</si>
  <si>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</si>
  <si>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</si>
  <si>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</si>
  <si>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</si>
  <si>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</si>
  <si>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</si>
  <si>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</si>
  <si>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</si>
  <si>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</si>
  <si>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</si>
  <si>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</si>
  <si>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</si>
  <si>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</si>
  <si>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</si>
  <si>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</si>
  <si>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</si>
  <si>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</si>
  <si>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</si>
  <si>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</si>
  <si>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</si>
  <si>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</si>
  <si>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</si>
  <si>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</si>
  <si>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</si>
  <si>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</si>
  <si>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</si>
  <si>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</si>
  <si>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</si>
  <si>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</si>
  <si>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</si>
  <si>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</si>
  <si>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</si>
  <si>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</si>
  <si>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</si>
  <si>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</si>
  <si>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</si>
  <si>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</si>
  <si>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</si>
  <si>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</si>
  <si>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</si>
  <si>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</si>
  <si>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</si>
  <si>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</si>
  <si>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</si>
  <si>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</si>
  <si>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</si>
  <si>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</si>
  <si>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</si>
  <si>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</si>
  <si>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</si>
  <si>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</si>
  <si>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</si>
  <si>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</si>
  <si>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</si>
  <si>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</si>
  <si>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</si>
  <si>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</si>
  <si>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</si>
  <si>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</si>
  <si>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</si>
  <si>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</si>
  <si>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</si>
  <si>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</si>
  <si>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</si>
  <si>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</si>
  <si>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</si>
  <si>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</si>
  <si>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</si>
  <si>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</si>
  <si>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</si>
  <si>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</si>
  <si>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</si>
  <si>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</si>
  <si>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Veterans Housing &amp; Homelessness Prevention - HCD</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</si>
  <si>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</si>
  <si>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</si>
  <si>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</si>
  <si>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</si>
  <si>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</si>
  <si>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</si>
  <si>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</si>
  <si>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</si>
  <si>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</si>
  <si>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</si>
  <si>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</si>
  <si>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</si>
  <si>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</si>
  <si>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</si>
  <si>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</si>
  <si>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</si>
  <si>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</si>
  <si>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</si>
  <si>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</si>
  <si>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</si>
  <si>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</si>
  <si>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</si>
  <si>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</si>
  <si>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</si>
  <si>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</si>
  <si>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</si>
  <si>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</si>
  <si>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</si>
  <si>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</si>
  <si>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</si>
  <si>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</si>
  <si>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</si>
  <si>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</si>
  <si>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</si>
  <si>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</si>
  <si>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</si>
  <si>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</si>
  <si>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</si>
  <si>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</si>
  <si>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</si>
  <si>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</si>
  <si>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</si>
  <si>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</si>
  <si>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</si>
  <si>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</si>
  <si>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</si>
  <si>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</si>
  <si>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</si>
  <si>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</si>
  <si>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</si>
  <si>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</si>
  <si>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</si>
  <si>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</si>
  <si>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</si>
  <si>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</si>
  <si>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</si>
  <si>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</si>
  <si>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</si>
  <si>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</si>
  <si>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HCD Serna</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</si>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</sst>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232">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3" fontId="23" fillId="43" borderId="11" xfId="1192" applyNumberFormat="1" applyFont="1" applyFill="1" applyBorder="1" applyProtection="1">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0" fontId="24" fillId="3" borderId="0" xfId="0" applyFont="1" applyFill="1" applyAlignment="1">
      <alignment horizontal="center" vertical="center" wrapText="1"/>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0" fontId="18"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45" borderId="11" xfId="0" applyFont="1" applyFill="1" applyBorder="1" applyAlignment="1">
      <alignment horizontal="center"/>
    </xf>
    <xf numFmtId="0" fontId="18" fillId="0" borderId="11" xfId="543"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18"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5" fillId="0" borderId="0" xfId="0" applyFont="1" applyAlignment="1">
      <alignment horizontal="center" vertical="center"/>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18"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17232">
    <cellStyle name="20% - Accent1" xfId="1" builtinId="30" customBuiltin="1"/>
    <cellStyle name="20% - Accent1 10" xfId="4504" xr:uid="{00000000-0005-0000-0000-000001000000}"/>
    <cellStyle name="20% - Accent1 10 2" xfId="13000" xr:uid="{E6E22F20-E28E-4CDA-8DF0-8FB1274B1784}"/>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61" xr:uid="{086D091A-D71D-4437-B7D7-CCFA69331B82}"/>
    <cellStyle name="20% - Accent1 2 2 2 2 2 3" xfId="11348" xr:uid="{886AE06E-6D9D-483F-AF80-90366C693E0E}"/>
    <cellStyle name="20% - Accent1 2 2 2 2 3" xfId="4921" xr:uid="{00000000-0005-0000-0000-000008000000}"/>
    <cellStyle name="20% - Accent1 2 2 2 2 3 2" xfId="13416" xr:uid="{9EBC8CD7-0DC8-473F-BC50-FB97DADAE46F}"/>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74" xr:uid="{D2F98D9C-0777-4CC0-9275-B30E4CEB7F4C}"/>
    <cellStyle name="20% - Accent1 2 2 2 3 2 3" xfId="11761" xr:uid="{ADD46D7E-DF00-4738-A523-71B4797D3489}"/>
    <cellStyle name="20% - Accent1 2 2 2 3 3" xfId="5334" xr:uid="{00000000-0005-0000-0000-00000C000000}"/>
    <cellStyle name="20% - Accent1 2 2 2 3 3 2" xfId="13829" xr:uid="{4E478FD2-7921-4665-9D28-C48E1C23C709}"/>
    <cellStyle name="20% - Accent1 2 2 2 3 4" xfId="9616" xr:uid="{5F0D33E8-2280-4006-A705-B93FEFB2590B}"/>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87" xr:uid="{F12661AC-CF54-4443-B23C-A264879CBE5F}"/>
    <cellStyle name="20% - Accent1 2 2 2 4 2 3" xfId="12174" xr:uid="{50C299F5-47F3-46C5-A5DA-E6D686C7A9FC}"/>
    <cellStyle name="20% - Accent1 2 2 2 4 3" xfId="5747" xr:uid="{00000000-0005-0000-0000-000010000000}"/>
    <cellStyle name="20% - Accent1 2 2 2 4 3 2" xfId="14242" xr:uid="{4C65A320-0789-4F91-B3BF-880B2832F0CF}"/>
    <cellStyle name="20% - Accent1 2 2 2 4 4" xfId="10029" xr:uid="{51DAC8D4-AA23-46ED-9BF8-3F5A7A5AF175}"/>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800" xr:uid="{61C0219C-F91C-4E1F-8ED3-4E4F91E40504}"/>
    <cellStyle name="20% - Accent1 2 2 2 5 2 3" xfId="12587" xr:uid="{38234150-2001-40AA-92FC-006312501C80}"/>
    <cellStyle name="20% - Accent1 2 2 2 5 3" xfId="6160" xr:uid="{00000000-0005-0000-0000-000014000000}"/>
    <cellStyle name="20% - Accent1 2 2 2 5 3 2" xfId="14655" xr:uid="{5C6A745D-1ADC-4BA9-8D40-32A29FBBF354}"/>
    <cellStyle name="20% - Accent1 2 2 2 5 4" xfId="10442" xr:uid="{951FFACA-943D-498B-8670-9716BA65974B}"/>
    <cellStyle name="20% - Accent1 2 2 2 6" xfId="2267" xr:uid="{00000000-0005-0000-0000-000015000000}"/>
    <cellStyle name="20% - Accent1 2 2 2 6 2" xfId="6573" xr:uid="{00000000-0005-0000-0000-000016000000}"/>
    <cellStyle name="20% - Accent1 2 2 2 6 2 2" xfId="15068" xr:uid="{4C7D1E30-CE4D-436A-A19A-FE764CAFC893}"/>
    <cellStyle name="20% - Accent1 2 2 2 6 3" xfId="10855" xr:uid="{D6916984-56C5-43F9-9522-B927E00E6B1B}"/>
    <cellStyle name="20% - Accent1 2 2 2 7" xfId="4507" xr:uid="{00000000-0005-0000-0000-000017000000}"/>
    <cellStyle name="20% - Accent1 2 2 2 7 2" xfId="13003" xr:uid="{6E2D99A3-939D-437F-96D8-DC63E3FA1E42}"/>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60" xr:uid="{7F410B0B-2E4C-446D-8C36-8E64BB3D0627}"/>
    <cellStyle name="20% - Accent1 2 2 3 2 3" xfId="11347" xr:uid="{7440F157-0786-4316-B228-31FB4B1ACB24}"/>
    <cellStyle name="20% - Accent1 2 2 3 3" xfId="4920" xr:uid="{00000000-0005-0000-0000-00001B000000}"/>
    <cellStyle name="20% - Accent1 2 2 3 3 2" xfId="13415" xr:uid="{0A234EF9-3EE9-4475-9FDA-6BCEDD002D5B}"/>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73" xr:uid="{A66CDE29-D4D9-4736-912F-36F9C3D4CAB3}"/>
    <cellStyle name="20% - Accent1 2 2 4 2 3" xfId="11760" xr:uid="{12F881A4-BCED-445C-A7FB-6EFA2FEB2E62}"/>
    <cellStyle name="20% - Accent1 2 2 4 3" xfId="5333" xr:uid="{00000000-0005-0000-0000-00001F000000}"/>
    <cellStyle name="20% - Accent1 2 2 4 3 2" xfId="13828" xr:uid="{53692AC0-FF6B-490F-BAEF-097F694EB2D6}"/>
    <cellStyle name="20% - Accent1 2 2 4 4" xfId="9615" xr:uid="{94BEB0FF-8948-49A6-AEDF-274815CAF674}"/>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86" xr:uid="{7BE2F9A7-48B6-42B5-8E20-BE7C94EEE3C1}"/>
    <cellStyle name="20% - Accent1 2 2 5 2 3" xfId="12173" xr:uid="{5D1E335F-5654-4395-AA2A-E8A35BC7726C}"/>
    <cellStyle name="20% - Accent1 2 2 5 3" xfId="5746" xr:uid="{00000000-0005-0000-0000-000023000000}"/>
    <cellStyle name="20% - Accent1 2 2 5 3 2" xfId="14241" xr:uid="{EEE028EE-D365-437A-9A92-A84483576043}"/>
    <cellStyle name="20% - Accent1 2 2 5 4" xfId="10028" xr:uid="{67EB89D5-A672-4B36-BF74-556FFF6ED1E3}"/>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99" xr:uid="{702ED60B-0ACE-4DCF-80B8-BD1AD2471E59}"/>
    <cellStyle name="20% - Accent1 2 2 6 2 3" xfId="12586" xr:uid="{8B6C7610-741F-4D45-9ECC-671DAEBAFF38}"/>
    <cellStyle name="20% - Accent1 2 2 6 3" xfId="6159" xr:uid="{00000000-0005-0000-0000-000027000000}"/>
    <cellStyle name="20% - Accent1 2 2 6 3 2" xfId="14654" xr:uid="{FEB854D2-3438-4707-ACF4-ED2FB86C267A}"/>
    <cellStyle name="20% - Accent1 2 2 6 4" xfId="10441" xr:uid="{64EC7F62-350D-4D44-8035-E0D88928139A}"/>
    <cellStyle name="20% - Accent1 2 2 7" xfId="2266" xr:uid="{00000000-0005-0000-0000-000028000000}"/>
    <cellStyle name="20% - Accent1 2 2 7 2" xfId="6572" xr:uid="{00000000-0005-0000-0000-000029000000}"/>
    <cellStyle name="20% - Accent1 2 2 7 2 2" xfId="15067" xr:uid="{D298BFAC-979A-4DB9-9223-1498E59D8AA9}"/>
    <cellStyle name="20% - Accent1 2 2 7 3" xfId="10854" xr:uid="{0DACB75E-BC53-4A16-BD4A-F30053A7EDDF}"/>
    <cellStyle name="20% - Accent1 2 2 8" xfId="4506" xr:uid="{00000000-0005-0000-0000-00002A000000}"/>
    <cellStyle name="20% - Accent1 2 2 8 2" xfId="13002" xr:uid="{0764E9B1-E057-481B-BD8E-3D066D326A54}"/>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62" xr:uid="{7029CC0E-74E2-41BA-AE05-3634DD523FAC}"/>
    <cellStyle name="20% - Accent1 2 3 2 2 3" xfId="11349" xr:uid="{18704F98-6835-446A-AC1E-2B17282F0868}"/>
    <cellStyle name="20% - Accent1 2 3 2 3" xfId="4922" xr:uid="{00000000-0005-0000-0000-00002F000000}"/>
    <cellStyle name="20% - Accent1 2 3 2 3 2" xfId="13417" xr:uid="{FEB26271-F3CA-47BF-A2FB-1D1285650DC7}"/>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75" xr:uid="{298FF54B-D710-4059-AE8A-E536EDE86DD8}"/>
    <cellStyle name="20% - Accent1 2 3 3 2 3" xfId="11762" xr:uid="{F2EFD7BB-0376-47E3-AF7E-7A37B15983BE}"/>
    <cellStyle name="20% - Accent1 2 3 3 3" xfId="5335" xr:uid="{00000000-0005-0000-0000-000033000000}"/>
    <cellStyle name="20% - Accent1 2 3 3 3 2" xfId="13830" xr:uid="{8CF8CBBC-596D-4D0A-8DDE-C40F0B8783F5}"/>
    <cellStyle name="20% - Accent1 2 3 3 4" xfId="9617" xr:uid="{FAF4146B-FB5F-42D7-83D9-1FEA4374452B}"/>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88" xr:uid="{942B94DA-2220-4062-AED5-9EEE2A6927BB}"/>
    <cellStyle name="20% - Accent1 2 3 4 2 3" xfId="12175" xr:uid="{00589D72-0528-4219-B182-EAD5A4A49F33}"/>
    <cellStyle name="20% - Accent1 2 3 4 3" xfId="5748" xr:uid="{00000000-0005-0000-0000-000037000000}"/>
    <cellStyle name="20% - Accent1 2 3 4 3 2" xfId="14243" xr:uid="{77D98D21-BA57-496E-B6AD-96EDCBF2D3F1}"/>
    <cellStyle name="20% - Accent1 2 3 4 4" xfId="10030" xr:uid="{28A77F19-E7F3-416D-9305-D2835819C08C}"/>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801" xr:uid="{5632D260-A76E-4325-9BA4-73C8FE39D788}"/>
    <cellStyle name="20% - Accent1 2 3 5 2 3" xfId="12588" xr:uid="{71990916-F33F-43BB-976D-4848A1B53918}"/>
    <cellStyle name="20% - Accent1 2 3 5 3" xfId="6161" xr:uid="{00000000-0005-0000-0000-00003B000000}"/>
    <cellStyle name="20% - Accent1 2 3 5 3 2" xfId="14656" xr:uid="{A7EEF620-715C-42A4-A52E-F70DB688D049}"/>
    <cellStyle name="20% - Accent1 2 3 5 4" xfId="10443" xr:uid="{EC2105E8-A5FE-4CEC-AD63-A60E034B05A9}"/>
    <cellStyle name="20% - Accent1 2 3 6" xfId="2268" xr:uid="{00000000-0005-0000-0000-00003C000000}"/>
    <cellStyle name="20% - Accent1 2 3 6 2" xfId="6574" xr:uid="{00000000-0005-0000-0000-00003D000000}"/>
    <cellStyle name="20% - Accent1 2 3 6 2 2" xfId="15069" xr:uid="{A3772F52-4704-47D4-B0F2-87F753F4B027}"/>
    <cellStyle name="20% - Accent1 2 3 6 3" xfId="10856" xr:uid="{0F3C84B5-9AAF-4B35-8C6E-2BBE5F8214E5}"/>
    <cellStyle name="20% - Accent1 2 3 7" xfId="4508" xr:uid="{00000000-0005-0000-0000-00003E000000}"/>
    <cellStyle name="20% - Accent1 2 3 7 2" xfId="13004" xr:uid="{98D9937E-2310-4FF6-B2E4-DEEB92923805}"/>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59" xr:uid="{1854C4C1-FC42-4D95-9C0E-3873697640A2}"/>
    <cellStyle name="20% - Accent1 2 4 2 3" xfId="11346" xr:uid="{A59E0E93-B1FC-4C40-87AB-DB3313F7AF30}"/>
    <cellStyle name="20% - Accent1 2 4 3" xfId="4919" xr:uid="{00000000-0005-0000-0000-000042000000}"/>
    <cellStyle name="20% - Accent1 2 4 3 2" xfId="13414" xr:uid="{9A6215AA-87CB-4FCE-BA46-103977664EEE}"/>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72" xr:uid="{6ABC5C8F-F705-49BD-B8B7-CAF5890E4789}"/>
    <cellStyle name="20% - Accent1 2 5 2 3" xfId="11759" xr:uid="{BEA56C89-F687-49B7-BF36-DCD83C31219A}"/>
    <cellStyle name="20% - Accent1 2 5 3" xfId="5332" xr:uid="{00000000-0005-0000-0000-000046000000}"/>
    <cellStyle name="20% - Accent1 2 5 3 2" xfId="13827" xr:uid="{255FC874-9584-4D1E-BDD6-4B22D0CFF5A6}"/>
    <cellStyle name="20% - Accent1 2 5 4" xfId="9614" xr:uid="{4C273D79-B6A0-4BF5-926A-5D2F9A06B775}"/>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85" xr:uid="{3BDB9CB9-7ED9-4BF6-AA0E-FC8701554D98}"/>
    <cellStyle name="20% - Accent1 2 6 2 3" xfId="12172" xr:uid="{08566B0B-249F-4639-8B27-6B653A56DD67}"/>
    <cellStyle name="20% - Accent1 2 6 3" xfId="5745" xr:uid="{00000000-0005-0000-0000-00004A000000}"/>
    <cellStyle name="20% - Accent1 2 6 3 2" xfId="14240" xr:uid="{6C819341-F30E-486E-B130-45BF8D31CB6A}"/>
    <cellStyle name="20% - Accent1 2 6 4" xfId="10027" xr:uid="{DBD5904B-010E-4633-9906-C055B7A97F9B}"/>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98" xr:uid="{D761EFBB-8A6F-4D0B-AFDD-2556D6B1CDAC}"/>
    <cellStyle name="20% - Accent1 2 7 2 3" xfId="12585" xr:uid="{AEEF7236-0521-47B7-88FC-ADA00E13488D}"/>
    <cellStyle name="20% - Accent1 2 7 3" xfId="6158" xr:uid="{00000000-0005-0000-0000-00004E000000}"/>
    <cellStyle name="20% - Accent1 2 7 3 2" xfId="14653" xr:uid="{3FCD43B1-E0B1-45DE-BAE2-356FD30130BA}"/>
    <cellStyle name="20% - Accent1 2 7 4" xfId="10440" xr:uid="{CBC3DBC0-3526-4C43-9883-72842C0CC0EA}"/>
    <cellStyle name="20% - Accent1 2 8" xfId="2265" xr:uid="{00000000-0005-0000-0000-00004F000000}"/>
    <cellStyle name="20% - Accent1 2 8 2" xfId="6571" xr:uid="{00000000-0005-0000-0000-000050000000}"/>
    <cellStyle name="20% - Accent1 2 8 2 2" xfId="15066" xr:uid="{884AC07D-44C7-45F5-8DCB-DEC521389111}"/>
    <cellStyle name="20% - Accent1 2 8 3" xfId="10853" xr:uid="{4BA31A77-9916-47C5-A841-6C3BD75574C1}"/>
    <cellStyle name="20% - Accent1 2 9" xfId="4505" xr:uid="{00000000-0005-0000-0000-000051000000}"/>
    <cellStyle name="20% - Accent1 2 9 2" xfId="13001" xr:uid="{E2680CD5-1E9E-4669-91F3-7890B9D16A54}"/>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64" xr:uid="{96832E57-C61E-4CBF-83E3-442FBFE3A19C}"/>
    <cellStyle name="20% - Accent1 3 2 2 2 3" xfId="11351" xr:uid="{D0C17E58-4892-44E9-B024-2A0CDE3F0FA0}"/>
    <cellStyle name="20% - Accent1 3 2 2 3" xfId="4924" xr:uid="{00000000-0005-0000-0000-000057000000}"/>
    <cellStyle name="20% - Accent1 3 2 2 3 2" xfId="13419" xr:uid="{E00A932C-CF96-4A9A-AC19-85FC1A005E81}"/>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77" xr:uid="{A0DEEBA6-36D3-412E-B676-7BD1DDA442E2}"/>
    <cellStyle name="20% - Accent1 3 2 3 2 3" xfId="11764" xr:uid="{412C1D76-1388-4CA4-9DA7-27018A917A79}"/>
    <cellStyle name="20% - Accent1 3 2 3 3" xfId="5337" xr:uid="{00000000-0005-0000-0000-00005B000000}"/>
    <cellStyle name="20% - Accent1 3 2 3 3 2" xfId="13832" xr:uid="{B8704501-2A0C-4793-BA58-A50EB442678F}"/>
    <cellStyle name="20% - Accent1 3 2 3 4" xfId="9619" xr:uid="{8E6C9A9D-1F65-4F8E-B081-6A5B9B4041AC}"/>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90" xr:uid="{82843EA9-6224-4F34-8ADF-2E6DD11C65CE}"/>
    <cellStyle name="20% - Accent1 3 2 4 2 3" xfId="12177" xr:uid="{A471380B-7A5C-4E4F-B877-59A131EBC866}"/>
    <cellStyle name="20% - Accent1 3 2 4 3" xfId="5750" xr:uid="{00000000-0005-0000-0000-00005F000000}"/>
    <cellStyle name="20% - Accent1 3 2 4 3 2" xfId="14245" xr:uid="{01858589-1B98-4EB6-A2B4-FD70516140C7}"/>
    <cellStyle name="20% - Accent1 3 2 4 4" xfId="10032" xr:uid="{EC5339CA-C57A-4133-AF4A-391F12E7975B}"/>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803" xr:uid="{CD982EAF-6443-421E-9F61-3DCF9F300E97}"/>
    <cellStyle name="20% - Accent1 3 2 5 2 3" xfId="12590" xr:uid="{66D68F9B-058E-4782-BC92-42898BFD6642}"/>
    <cellStyle name="20% - Accent1 3 2 5 3" xfId="6163" xr:uid="{00000000-0005-0000-0000-000063000000}"/>
    <cellStyle name="20% - Accent1 3 2 5 3 2" xfId="14658" xr:uid="{43003BDD-5B29-4CA8-AF46-86705E3819AC}"/>
    <cellStyle name="20% - Accent1 3 2 5 4" xfId="10445" xr:uid="{D93ED041-02C6-415D-B6BE-B00CE094D669}"/>
    <cellStyle name="20% - Accent1 3 2 6" xfId="2270" xr:uid="{00000000-0005-0000-0000-000064000000}"/>
    <cellStyle name="20% - Accent1 3 2 6 2" xfId="6576" xr:uid="{00000000-0005-0000-0000-000065000000}"/>
    <cellStyle name="20% - Accent1 3 2 6 2 2" xfId="15071" xr:uid="{0ED4A1DB-779F-4548-9C0D-A665BD758B68}"/>
    <cellStyle name="20% - Accent1 3 2 6 3" xfId="10858" xr:uid="{CFAF171F-B74B-4ED8-9579-E370921EDF16}"/>
    <cellStyle name="20% - Accent1 3 2 7" xfId="4510" xr:uid="{00000000-0005-0000-0000-000066000000}"/>
    <cellStyle name="20% - Accent1 3 2 7 2" xfId="13006" xr:uid="{83CA0103-E9E0-4ED4-A421-2E1C6E5B74FE}"/>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63" xr:uid="{EFBAF60D-6C15-44DE-8EB5-91D8FEC3FA41}"/>
    <cellStyle name="20% - Accent1 3 3 2 3" xfId="11350" xr:uid="{4999A33B-6DC7-4188-961A-9A81E7B9829B}"/>
    <cellStyle name="20% - Accent1 3 3 3" xfId="4923" xr:uid="{00000000-0005-0000-0000-00006A000000}"/>
    <cellStyle name="20% - Accent1 3 3 3 2" xfId="13418" xr:uid="{14DE2244-9E04-4FF3-9DD9-ED716DA9F50F}"/>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76" xr:uid="{DBB9E4B1-4D43-4E6C-80C6-DE1A037A0B93}"/>
    <cellStyle name="20% - Accent1 3 4 2 3" xfId="11763" xr:uid="{1A9BA6ED-FB52-4A87-8737-8A6A99E0E716}"/>
    <cellStyle name="20% - Accent1 3 4 3" xfId="5336" xr:uid="{00000000-0005-0000-0000-00006E000000}"/>
    <cellStyle name="20% - Accent1 3 4 3 2" xfId="13831" xr:uid="{971193AB-5A76-41D7-9EBD-2B061A5AC8A9}"/>
    <cellStyle name="20% - Accent1 3 4 4" xfId="9618" xr:uid="{B712D034-899A-4D35-B08F-E89583FAA80A}"/>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89" xr:uid="{7D9FE7F2-3B1E-496E-8F5A-0E398D94391D}"/>
    <cellStyle name="20% - Accent1 3 5 2 3" xfId="12176" xr:uid="{1A022031-1A08-4413-95AC-3AAA4084F6A7}"/>
    <cellStyle name="20% - Accent1 3 5 3" xfId="5749" xr:uid="{00000000-0005-0000-0000-000072000000}"/>
    <cellStyle name="20% - Accent1 3 5 3 2" xfId="14244" xr:uid="{CB017AFE-D966-4481-A894-2A2CC927D581}"/>
    <cellStyle name="20% - Accent1 3 5 4" xfId="10031" xr:uid="{432057C5-C782-42D1-BCA2-56AF96AD0A39}"/>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802" xr:uid="{A3F82AA4-DC50-4A1A-9426-4E8D395B0564}"/>
    <cellStyle name="20% - Accent1 3 6 2 3" xfId="12589" xr:uid="{FC2BA7EA-EFB2-4AB7-8FD5-3DA96B2ED791}"/>
    <cellStyle name="20% - Accent1 3 6 3" xfId="6162" xr:uid="{00000000-0005-0000-0000-000076000000}"/>
    <cellStyle name="20% - Accent1 3 6 3 2" xfId="14657" xr:uid="{982796FB-686E-489A-934E-4CAAD15E4BDF}"/>
    <cellStyle name="20% - Accent1 3 6 4" xfId="10444" xr:uid="{B34FB7AA-7879-4F6D-9446-DF25E7BC4487}"/>
    <cellStyle name="20% - Accent1 3 7" xfId="2269" xr:uid="{00000000-0005-0000-0000-000077000000}"/>
    <cellStyle name="20% - Accent1 3 7 2" xfId="6575" xr:uid="{00000000-0005-0000-0000-000078000000}"/>
    <cellStyle name="20% - Accent1 3 7 2 2" xfId="15070" xr:uid="{E1BDDC05-F2C3-4D02-ABEA-CA671F603203}"/>
    <cellStyle name="20% - Accent1 3 7 3" xfId="10857" xr:uid="{C771B7F9-5C8A-4E02-9422-2ECAE7317E3E}"/>
    <cellStyle name="20% - Accent1 3 8" xfId="4509" xr:uid="{00000000-0005-0000-0000-000079000000}"/>
    <cellStyle name="20% - Accent1 3 8 2" xfId="13005" xr:uid="{0309FA59-9EF3-4F72-A859-A3B8FC1A5745}"/>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65" xr:uid="{6146F788-AFA9-472B-8DC1-DACF65B70E83}"/>
    <cellStyle name="20% - Accent1 4 2 2 3" xfId="11352" xr:uid="{B46EC87B-CF3C-467A-8410-50A3A68EAB3F}"/>
    <cellStyle name="20% - Accent1 4 2 3" xfId="4925" xr:uid="{00000000-0005-0000-0000-00007E000000}"/>
    <cellStyle name="20% - Accent1 4 2 3 2" xfId="13420" xr:uid="{FD205015-066C-4F57-AAF3-125E59A97E8E}"/>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78" xr:uid="{9D9A590B-D690-4570-998B-BAF96A49BAE6}"/>
    <cellStyle name="20% - Accent1 4 3 2 3" xfId="11765" xr:uid="{9C32A565-D836-4CA0-B265-7A28091041CE}"/>
    <cellStyle name="20% - Accent1 4 3 3" xfId="5338" xr:uid="{00000000-0005-0000-0000-000082000000}"/>
    <cellStyle name="20% - Accent1 4 3 3 2" xfId="13833" xr:uid="{DC75042E-DF22-4B25-AFB8-26E3C9619230}"/>
    <cellStyle name="20% - Accent1 4 3 4" xfId="9620" xr:uid="{8FEB7F69-2487-424D-8DE9-E7B2F301D919}"/>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91" xr:uid="{8A8529E9-1CA7-4F5F-B34E-1D7750E3C08C}"/>
    <cellStyle name="20% - Accent1 4 4 2 3" xfId="12178" xr:uid="{9B5BFADB-B729-42ED-8AB0-8BF38E5B2DA0}"/>
    <cellStyle name="20% - Accent1 4 4 3" xfId="5751" xr:uid="{00000000-0005-0000-0000-000086000000}"/>
    <cellStyle name="20% - Accent1 4 4 3 2" xfId="14246" xr:uid="{CB185E4E-7AFB-46D0-B6CD-A424471104FB}"/>
    <cellStyle name="20% - Accent1 4 4 4" xfId="10033" xr:uid="{7FA1BE87-7ACB-4CFE-A6A8-11D07CA933BE}"/>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804" xr:uid="{D66D6A90-D7FB-40E9-B5F0-2A957DF25450}"/>
    <cellStyle name="20% - Accent1 4 5 2 3" xfId="12591" xr:uid="{9605EC6B-04BE-4600-8EEA-4AB8124D8FC5}"/>
    <cellStyle name="20% - Accent1 4 5 3" xfId="6164" xr:uid="{00000000-0005-0000-0000-00008A000000}"/>
    <cellStyle name="20% - Accent1 4 5 3 2" xfId="14659" xr:uid="{FAFB9D7D-EDDC-4C2C-99D7-C0C33A695E1F}"/>
    <cellStyle name="20% - Accent1 4 5 4" xfId="10446" xr:uid="{BAB11A71-753E-4067-9272-0310B8C1B5BD}"/>
    <cellStyle name="20% - Accent1 4 6" xfId="2271" xr:uid="{00000000-0005-0000-0000-00008B000000}"/>
    <cellStyle name="20% - Accent1 4 6 2" xfId="6577" xr:uid="{00000000-0005-0000-0000-00008C000000}"/>
    <cellStyle name="20% - Accent1 4 6 2 2" xfId="15072" xr:uid="{BBCF3244-446F-495D-8B5F-C3EBEBE2C787}"/>
    <cellStyle name="20% - Accent1 4 6 3" xfId="10859" xr:uid="{1964EEBA-CB6D-4563-A77D-BF084FAD2F70}"/>
    <cellStyle name="20% - Accent1 4 7" xfId="4511" xr:uid="{00000000-0005-0000-0000-00008D000000}"/>
    <cellStyle name="20% - Accent1 4 7 2" xfId="13007" xr:uid="{88022324-996E-4E12-B9D2-38CB8AFE0027}"/>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2 2 2" xfId="15558" xr:uid="{11EB5AF2-A7D2-4872-95F5-B3B1D37A137B}"/>
    <cellStyle name="20% - Accent1 5 2 3" xfId="11345" xr:uid="{F6CD4849-87F4-40BF-A69F-2034A57B8407}"/>
    <cellStyle name="20% - Accent1 5 3" xfId="4918" xr:uid="{00000000-0005-0000-0000-000091000000}"/>
    <cellStyle name="20% - Accent1 5 3 2" xfId="13413" xr:uid="{1B51980D-0E28-4D27-B4C3-0C32687CA4AC}"/>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2 2 2" xfId="15971" xr:uid="{6F87DF4D-24BE-4D0E-823A-00BA5E2E7A38}"/>
    <cellStyle name="20% - Accent1 6 2 3" xfId="11758" xr:uid="{EA1AE634-1E5A-4047-96DF-CA1B1CEE3F8B}"/>
    <cellStyle name="20% - Accent1 6 3" xfId="5331" xr:uid="{00000000-0005-0000-0000-000095000000}"/>
    <cellStyle name="20% - Accent1 6 3 2" xfId="13826" xr:uid="{8C1D734D-AE5C-4810-921C-C91CCD50C7EC}"/>
    <cellStyle name="20% - Accent1 6 4" xfId="9613" xr:uid="{D973B296-E40E-4C23-BED7-0CDCFAD342E6}"/>
    <cellStyle name="20% - Accent1 7" xfId="1437" xr:uid="{00000000-0005-0000-0000-000096000000}"/>
    <cellStyle name="20% - Accent1 7 2" xfId="3667" xr:uid="{00000000-0005-0000-0000-000097000000}"/>
    <cellStyle name="20% - Accent1 7 2 2" xfId="7889" xr:uid="{00000000-0005-0000-0000-000098000000}"/>
    <cellStyle name="20% - Accent1 7 2 2 2" xfId="16384" xr:uid="{5E84EE26-0BFE-4D71-A05C-794296BBC047}"/>
    <cellStyle name="20% - Accent1 7 2 3" xfId="12171" xr:uid="{77014174-9EC4-481D-AF44-C04699A56E70}"/>
    <cellStyle name="20% - Accent1 7 3" xfId="5744" xr:uid="{00000000-0005-0000-0000-000099000000}"/>
    <cellStyle name="20% - Accent1 7 3 2" xfId="14239" xr:uid="{0994094E-D0E8-4511-8E0D-825F4839B65F}"/>
    <cellStyle name="20% - Accent1 7 4" xfId="10026" xr:uid="{39E2A211-AA69-46FE-AE68-9BFB7953CF4F}"/>
    <cellStyle name="20% - Accent1 8" xfId="1851" xr:uid="{00000000-0005-0000-0000-00009A000000}"/>
    <cellStyle name="20% - Accent1 8 2" xfId="4080" xr:uid="{00000000-0005-0000-0000-00009B000000}"/>
    <cellStyle name="20% - Accent1 8 2 2" xfId="8302" xr:uid="{00000000-0005-0000-0000-00009C000000}"/>
    <cellStyle name="20% - Accent1 8 2 2 2" xfId="16797" xr:uid="{03146E16-E2F0-487D-938B-D1A326215B03}"/>
    <cellStyle name="20% - Accent1 8 2 3" xfId="12584" xr:uid="{73D89A51-F3B5-4C6C-8F2F-A2B59E625AF4}"/>
    <cellStyle name="20% - Accent1 8 3" xfId="6157" xr:uid="{00000000-0005-0000-0000-00009D000000}"/>
    <cellStyle name="20% - Accent1 8 3 2" xfId="14652" xr:uid="{ED7D5D45-E4C6-4E1A-BD56-0F7F17E56E21}"/>
    <cellStyle name="20% - Accent1 8 4" xfId="10439" xr:uid="{2CA1D57B-2626-4634-BA0A-7D46EAB69416}"/>
    <cellStyle name="20% - Accent1 9" xfId="2264" xr:uid="{00000000-0005-0000-0000-00009E000000}"/>
    <cellStyle name="20% - Accent1 9 2" xfId="6570" xr:uid="{00000000-0005-0000-0000-00009F000000}"/>
    <cellStyle name="20% - Accent1 9 2 2" xfId="15065" xr:uid="{2EB411C0-BD87-4DD3-B718-C7AFB65A2B94}"/>
    <cellStyle name="20% - Accent1 9 3" xfId="10852" xr:uid="{6BB4C117-DEAD-410D-AC3B-82CD0C58F824}"/>
    <cellStyle name="20% - Accent2" xfId="9" builtinId="34" customBuiltin="1"/>
    <cellStyle name="20% - Accent2 10" xfId="4512" xr:uid="{00000000-0005-0000-0000-0000A1000000}"/>
    <cellStyle name="20% - Accent2 10 2" xfId="13008" xr:uid="{C9328919-E1D4-481C-B4E8-5C193AF1CB13}"/>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69" xr:uid="{3FBAED02-B921-47A9-A6FB-37D384D642D7}"/>
    <cellStyle name="20% - Accent2 2 2 2 2 2 3" xfId="11356" xr:uid="{EC2D2708-E5E1-4FB9-9E03-F1600E4D3782}"/>
    <cellStyle name="20% - Accent2 2 2 2 2 3" xfId="4929" xr:uid="{00000000-0005-0000-0000-0000A8000000}"/>
    <cellStyle name="20% - Accent2 2 2 2 2 3 2" xfId="13424" xr:uid="{F099F010-26C6-4114-8028-3851D21B5EBA}"/>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82" xr:uid="{2E3535C9-1EAF-4317-8A2E-5DC975070A6A}"/>
    <cellStyle name="20% - Accent2 2 2 2 3 2 3" xfId="11769" xr:uid="{79D3CAB9-C59E-4C60-92E8-0D02A80DC422}"/>
    <cellStyle name="20% - Accent2 2 2 2 3 3" xfId="5342" xr:uid="{00000000-0005-0000-0000-0000AC000000}"/>
    <cellStyle name="20% - Accent2 2 2 2 3 3 2" xfId="13837" xr:uid="{0AE74880-1D66-4E1D-9854-6034AA7F005B}"/>
    <cellStyle name="20% - Accent2 2 2 2 3 4" xfId="9624" xr:uid="{2732B148-DB7A-4CB4-9EBF-F460B724838F}"/>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95" xr:uid="{B88B6906-566D-48DD-90A3-769B440E5399}"/>
    <cellStyle name="20% - Accent2 2 2 2 4 2 3" xfId="12182" xr:uid="{75318C1C-A7ED-4C90-A877-E2B031A2647A}"/>
    <cellStyle name="20% - Accent2 2 2 2 4 3" xfId="5755" xr:uid="{00000000-0005-0000-0000-0000B0000000}"/>
    <cellStyle name="20% - Accent2 2 2 2 4 3 2" xfId="14250" xr:uid="{98F39FCD-9452-4A8E-8CB9-8F46F8D9E851}"/>
    <cellStyle name="20% - Accent2 2 2 2 4 4" xfId="10037" xr:uid="{22885BBD-4255-4878-93E0-B5531DE8B778}"/>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808" xr:uid="{C9144513-05B8-416C-995D-640466B6047F}"/>
    <cellStyle name="20% - Accent2 2 2 2 5 2 3" xfId="12595" xr:uid="{B3D63626-9B0C-46CA-A56C-6E88C6360E33}"/>
    <cellStyle name="20% - Accent2 2 2 2 5 3" xfId="6168" xr:uid="{00000000-0005-0000-0000-0000B4000000}"/>
    <cellStyle name="20% - Accent2 2 2 2 5 3 2" xfId="14663" xr:uid="{5AE45623-A936-4E7B-870A-634DE697C6D9}"/>
    <cellStyle name="20% - Accent2 2 2 2 5 4" xfId="10450" xr:uid="{D45F834B-7C3E-4951-ABA7-667D356E59B2}"/>
    <cellStyle name="20% - Accent2 2 2 2 6" xfId="2275" xr:uid="{00000000-0005-0000-0000-0000B5000000}"/>
    <cellStyle name="20% - Accent2 2 2 2 6 2" xfId="6581" xr:uid="{00000000-0005-0000-0000-0000B6000000}"/>
    <cellStyle name="20% - Accent2 2 2 2 6 2 2" xfId="15076" xr:uid="{C29EF684-EFC1-441F-91E2-7B792E8F3F0D}"/>
    <cellStyle name="20% - Accent2 2 2 2 6 3" xfId="10863" xr:uid="{8E40C8E0-00BF-4D0B-BE4D-A2FBD259248A}"/>
    <cellStyle name="20% - Accent2 2 2 2 7" xfId="4515" xr:uid="{00000000-0005-0000-0000-0000B7000000}"/>
    <cellStyle name="20% - Accent2 2 2 2 7 2" xfId="13011" xr:uid="{FB87F681-84D5-4320-B2F4-C7A0BABC85A9}"/>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68" xr:uid="{2FF72422-66A0-4C1F-BE2E-9DEEC50DC7BA}"/>
    <cellStyle name="20% - Accent2 2 2 3 2 3" xfId="11355" xr:uid="{66354CEF-A128-49F9-B69B-2CCFEDD3FF4A}"/>
    <cellStyle name="20% - Accent2 2 2 3 3" xfId="4928" xr:uid="{00000000-0005-0000-0000-0000BB000000}"/>
    <cellStyle name="20% - Accent2 2 2 3 3 2" xfId="13423" xr:uid="{499D564F-CA67-4C1B-93A1-1EE6182C21B7}"/>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81" xr:uid="{BE528B00-33BB-4520-B6E5-3A43C7975CC7}"/>
    <cellStyle name="20% - Accent2 2 2 4 2 3" xfId="11768" xr:uid="{3CAB985D-05B5-44CF-9250-9613B50DC623}"/>
    <cellStyle name="20% - Accent2 2 2 4 3" xfId="5341" xr:uid="{00000000-0005-0000-0000-0000BF000000}"/>
    <cellStyle name="20% - Accent2 2 2 4 3 2" xfId="13836" xr:uid="{FA978C6A-0BF4-4836-93F3-EAB1049B24FB}"/>
    <cellStyle name="20% - Accent2 2 2 4 4" xfId="9623" xr:uid="{2BFA1378-5DB6-4420-8775-DE1D50CB3DAA}"/>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94" xr:uid="{895F8BA6-1957-481E-A0A1-D3EEC7D4369E}"/>
    <cellStyle name="20% - Accent2 2 2 5 2 3" xfId="12181" xr:uid="{B40F430A-73AC-4944-A14A-A2154932765B}"/>
    <cellStyle name="20% - Accent2 2 2 5 3" xfId="5754" xr:uid="{00000000-0005-0000-0000-0000C3000000}"/>
    <cellStyle name="20% - Accent2 2 2 5 3 2" xfId="14249" xr:uid="{098941A9-A94B-451E-9A37-DC380D37ABAD}"/>
    <cellStyle name="20% - Accent2 2 2 5 4" xfId="10036" xr:uid="{C62DA933-94B6-4CCC-8AF7-BDA38BDC3E97}"/>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807" xr:uid="{BCEAEFA6-7983-41A4-8BA4-4C76CCE7487B}"/>
    <cellStyle name="20% - Accent2 2 2 6 2 3" xfId="12594" xr:uid="{C20D366E-B544-4833-9BA8-706A943ECEAA}"/>
    <cellStyle name="20% - Accent2 2 2 6 3" xfId="6167" xr:uid="{00000000-0005-0000-0000-0000C7000000}"/>
    <cellStyle name="20% - Accent2 2 2 6 3 2" xfId="14662" xr:uid="{3943AC8F-A76C-480A-AB02-05527AB4F19D}"/>
    <cellStyle name="20% - Accent2 2 2 6 4" xfId="10449" xr:uid="{EAB87D0B-76A3-411B-BABA-D5FA94B1BFAD}"/>
    <cellStyle name="20% - Accent2 2 2 7" xfId="2274" xr:uid="{00000000-0005-0000-0000-0000C8000000}"/>
    <cellStyle name="20% - Accent2 2 2 7 2" xfId="6580" xr:uid="{00000000-0005-0000-0000-0000C9000000}"/>
    <cellStyle name="20% - Accent2 2 2 7 2 2" xfId="15075" xr:uid="{EC869F4F-F26B-4F1E-9AA5-AB1C3774553F}"/>
    <cellStyle name="20% - Accent2 2 2 7 3" xfId="10862" xr:uid="{F9EFC922-F0EE-433B-A911-B7BFD91D7BAF}"/>
    <cellStyle name="20% - Accent2 2 2 8" xfId="4514" xr:uid="{00000000-0005-0000-0000-0000CA000000}"/>
    <cellStyle name="20% - Accent2 2 2 8 2" xfId="13010" xr:uid="{CF7CD327-C275-41EE-870A-ABD6ADAC953D}"/>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70" xr:uid="{295F0C69-94F8-43F5-9A91-0875532A2CDD}"/>
    <cellStyle name="20% - Accent2 2 3 2 2 3" xfId="11357" xr:uid="{4B11F672-AD91-4F8F-B5CE-54C9FA7B53CA}"/>
    <cellStyle name="20% - Accent2 2 3 2 3" xfId="4930" xr:uid="{00000000-0005-0000-0000-0000CF000000}"/>
    <cellStyle name="20% - Accent2 2 3 2 3 2" xfId="13425" xr:uid="{F1238B86-9A35-4ECF-9CE3-6FC25C4891D7}"/>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83" xr:uid="{C588633A-F652-4294-AAA3-078BAE08EAD9}"/>
    <cellStyle name="20% - Accent2 2 3 3 2 3" xfId="11770" xr:uid="{23B56C1D-2849-47B7-80BF-C49E1775E7F2}"/>
    <cellStyle name="20% - Accent2 2 3 3 3" xfId="5343" xr:uid="{00000000-0005-0000-0000-0000D3000000}"/>
    <cellStyle name="20% - Accent2 2 3 3 3 2" xfId="13838" xr:uid="{36C3D2F6-EC08-446A-BBEF-7DF33781735F}"/>
    <cellStyle name="20% - Accent2 2 3 3 4" xfId="9625" xr:uid="{A07B7F15-4903-430B-9579-203C971B013D}"/>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96" xr:uid="{02CA1983-98D8-4FDD-BFB0-91710A1947C5}"/>
    <cellStyle name="20% - Accent2 2 3 4 2 3" xfId="12183" xr:uid="{D2BB2A2F-3E76-485F-A8A3-9F2A2381FCAE}"/>
    <cellStyle name="20% - Accent2 2 3 4 3" xfId="5756" xr:uid="{00000000-0005-0000-0000-0000D7000000}"/>
    <cellStyle name="20% - Accent2 2 3 4 3 2" xfId="14251" xr:uid="{A6F6A6A3-1BFF-4003-BDDD-63907209FB4D}"/>
    <cellStyle name="20% - Accent2 2 3 4 4" xfId="10038" xr:uid="{F197E630-C4B4-425B-A596-47D523DCC1C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809" xr:uid="{C629063A-EF16-41EF-B56F-057B68573546}"/>
    <cellStyle name="20% - Accent2 2 3 5 2 3" xfId="12596" xr:uid="{9E62C696-9555-471E-B25E-CDE6F48BCA2A}"/>
    <cellStyle name="20% - Accent2 2 3 5 3" xfId="6169" xr:uid="{00000000-0005-0000-0000-0000DB000000}"/>
    <cellStyle name="20% - Accent2 2 3 5 3 2" xfId="14664" xr:uid="{8791F659-9DE6-47C3-B127-F8AAF6BD2C81}"/>
    <cellStyle name="20% - Accent2 2 3 5 4" xfId="10451" xr:uid="{03E22AD2-6DE1-4D76-8E0C-0B38D5815E4C}"/>
    <cellStyle name="20% - Accent2 2 3 6" xfId="2276" xr:uid="{00000000-0005-0000-0000-0000DC000000}"/>
    <cellStyle name="20% - Accent2 2 3 6 2" xfId="6582" xr:uid="{00000000-0005-0000-0000-0000DD000000}"/>
    <cellStyle name="20% - Accent2 2 3 6 2 2" xfId="15077" xr:uid="{2D58038E-DD96-4C69-8BD0-807F94A6657A}"/>
    <cellStyle name="20% - Accent2 2 3 6 3" xfId="10864" xr:uid="{AA9A32A2-F601-4133-A45C-AF71DBDD8591}"/>
    <cellStyle name="20% - Accent2 2 3 7" xfId="4516" xr:uid="{00000000-0005-0000-0000-0000DE000000}"/>
    <cellStyle name="20% - Accent2 2 3 7 2" xfId="13012" xr:uid="{84854FBB-B0DA-4B5E-BB51-A9BB3ACD0A82}"/>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67" xr:uid="{76E9EA9E-7291-4969-BC4C-BA5C76B5DC42}"/>
    <cellStyle name="20% - Accent2 2 4 2 3" xfId="11354" xr:uid="{EDADF52B-ADED-4FC6-9E57-9670E439E076}"/>
    <cellStyle name="20% - Accent2 2 4 3" xfId="4927" xr:uid="{00000000-0005-0000-0000-0000E2000000}"/>
    <cellStyle name="20% - Accent2 2 4 3 2" xfId="13422" xr:uid="{AC343FE1-C3D0-4576-B03D-490D96AB0959}"/>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80" xr:uid="{225572A2-4BCC-4206-BCB6-EBA65DF244F9}"/>
    <cellStyle name="20% - Accent2 2 5 2 3" xfId="11767" xr:uid="{CB6A1BFF-9F1E-4D5A-BDF6-6B0758BF0DC1}"/>
    <cellStyle name="20% - Accent2 2 5 3" xfId="5340" xr:uid="{00000000-0005-0000-0000-0000E6000000}"/>
    <cellStyle name="20% - Accent2 2 5 3 2" xfId="13835" xr:uid="{CF9A06B8-4460-4E0A-863F-EF18D2183B3E}"/>
    <cellStyle name="20% - Accent2 2 5 4" xfId="9622" xr:uid="{DBB19395-BE62-417E-8803-3BE8E820059B}"/>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93" xr:uid="{E66FC897-D3EB-4701-B71E-8E92EC9AFDF7}"/>
    <cellStyle name="20% - Accent2 2 6 2 3" xfId="12180" xr:uid="{BA0F0B5B-08C8-441B-B23E-3CED3715D347}"/>
    <cellStyle name="20% - Accent2 2 6 3" xfId="5753" xr:uid="{00000000-0005-0000-0000-0000EA000000}"/>
    <cellStyle name="20% - Accent2 2 6 3 2" xfId="14248" xr:uid="{61C3266D-8395-421F-A45D-E11C15A1F5A2}"/>
    <cellStyle name="20% - Accent2 2 6 4" xfId="10035" xr:uid="{3125E887-082A-4AEE-91B8-2815A0EA8474}"/>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806" xr:uid="{435523AC-171A-45EC-ACDA-6FA129BFC15C}"/>
    <cellStyle name="20% - Accent2 2 7 2 3" xfId="12593" xr:uid="{37EFA3C0-2496-465B-B9DA-17F24657B93D}"/>
    <cellStyle name="20% - Accent2 2 7 3" xfId="6166" xr:uid="{00000000-0005-0000-0000-0000EE000000}"/>
    <cellStyle name="20% - Accent2 2 7 3 2" xfId="14661" xr:uid="{8A0DE597-F53A-4CCD-BAB5-6BB7ED292B60}"/>
    <cellStyle name="20% - Accent2 2 7 4" xfId="10448" xr:uid="{B0F336DD-A8CF-44ED-BA0D-B7C3F922F415}"/>
    <cellStyle name="20% - Accent2 2 8" xfId="2273" xr:uid="{00000000-0005-0000-0000-0000EF000000}"/>
    <cellStyle name="20% - Accent2 2 8 2" xfId="6579" xr:uid="{00000000-0005-0000-0000-0000F0000000}"/>
    <cellStyle name="20% - Accent2 2 8 2 2" xfId="15074" xr:uid="{D1B77037-6892-4E85-A92E-717E8865F724}"/>
    <cellStyle name="20% - Accent2 2 8 3" xfId="10861" xr:uid="{A2F7D6BB-EC3D-454D-A767-FD2D0256B31D}"/>
    <cellStyle name="20% - Accent2 2 9" xfId="4513" xr:uid="{00000000-0005-0000-0000-0000F1000000}"/>
    <cellStyle name="20% - Accent2 2 9 2" xfId="13009" xr:uid="{5F3DCF7D-94A5-4AE0-9858-4CAE1E572205}"/>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72" xr:uid="{DA55B179-A334-4086-A93A-2935A8CCD02E}"/>
    <cellStyle name="20% - Accent2 3 2 2 2 3" xfId="11359" xr:uid="{C67DB5B3-AE49-4E91-9CA7-C610F60B12D0}"/>
    <cellStyle name="20% - Accent2 3 2 2 3" xfId="4932" xr:uid="{00000000-0005-0000-0000-0000F7000000}"/>
    <cellStyle name="20% - Accent2 3 2 2 3 2" xfId="13427" xr:uid="{C76234C9-B74F-44E1-8B1A-FB6D6E1DDAAD}"/>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85" xr:uid="{DA27942A-7870-4AE0-9B8F-483CF9304987}"/>
    <cellStyle name="20% - Accent2 3 2 3 2 3" xfId="11772" xr:uid="{FD13A5E7-2CDF-473B-BDE0-410C50C0927B}"/>
    <cellStyle name="20% - Accent2 3 2 3 3" xfId="5345" xr:uid="{00000000-0005-0000-0000-0000FB000000}"/>
    <cellStyle name="20% - Accent2 3 2 3 3 2" xfId="13840" xr:uid="{216589C0-09A0-4484-AE1F-C3A9D70BB2E9}"/>
    <cellStyle name="20% - Accent2 3 2 3 4" xfId="9627" xr:uid="{A29F586C-1E4C-4501-8284-6165827576DF}"/>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98" xr:uid="{32B05D85-5783-46A2-AADC-7AF5FEA78D26}"/>
    <cellStyle name="20% - Accent2 3 2 4 2 3" xfId="12185" xr:uid="{D9E407E6-8EF7-44CE-95D8-7C7B1D34EB27}"/>
    <cellStyle name="20% - Accent2 3 2 4 3" xfId="5758" xr:uid="{00000000-0005-0000-0000-0000FF000000}"/>
    <cellStyle name="20% - Accent2 3 2 4 3 2" xfId="14253" xr:uid="{E5037FFE-2500-46B7-A6B9-9F9E5404AF7C}"/>
    <cellStyle name="20% - Accent2 3 2 4 4" xfId="10040" xr:uid="{C0E18501-D91D-470B-9BCB-364E8FAE8B57}"/>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811" xr:uid="{6E899232-6A85-4523-B561-06C0372C3152}"/>
    <cellStyle name="20% - Accent2 3 2 5 2 3" xfId="12598" xr:uid="{CEA7800B-D9E7-4686-802A-6A3932F207B2}"/>
    <cellStyle name="20% - Accent2 3 2 5 3" xfId="6171" xr:uid="{00000000-0005-0000-0000-000003010000}"/>
    <cellStyle name="20% - Accent2 3 2 5 3 2" xfId="14666" xr:uid="{131E3979-1B35-4D3F-A967-52B2E387BB86}"/>
    <cellStyle name="20% - Accent2 3 2 5 4" xfId="10453" xr:uid="{B45AED94-C634-4E01-BB51-830A05153A36}"/>
    <cellStyle name="20% - Accent2 3 2 6" xfId="2278" xr:uid="{00000000-0005-0000-0000-000004010000}"/>
    <cellStyle name="20% - Accent2 3 2 6 2" xfId="6584" xr:uid="{00000000-0005-0000-0000-000005010000}"/>
    <cellStyle name="20% - Accent2 3 2 6 2 2" xfId="15079" xr:uid="{795C6C69-780E-4199-A1E1-50940EDFBC7F}"/>
    <cellStyle name="20% - Accent2 3 2 6 3" xfId="10866" xr:uid="{8D4B8310-E266-4864-A2CC-C6EC63FA3F19}"/>
    <cellStyle name="20% - Accent2 3 2 7" xfId="4518" xr:uid="{00000000-0005-0000-0000-000006010000}"/>
    <cellStyle name="20% - Accent2 3 2 7 2" xfId="13014" xr:uid="{766743C9-B324-4345-BA2E-2901784FA10F}"/>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71" xr:uid="{92BFA95A-0C71-4505-891D-04A5BCC084FC}"/>
    <cellStyle name="20% - Accent2 3 3 2 3" xfId="11358" xr:uid="{AEAF93DC-30B2-42B3-95B8-70FE22011746}"/>
    <cellStyle name="20% - Accent2 3 3 3" xfId="4931" xr:uid="{00000000-0005-0000-0000-00000A010000}"/>
    <cellStyle name="20% - Accent2 3 3 3 2" xfId="13426" xr:uid="{906A2069-FE45-446A-9527-24E58C69C4FF}"/>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84" xr:uid="{E9896F2A-7AD3-4898-9320-E6597457C0BE}"/>
    <cellStyle name="20% - Accent2 3 4 2 3" xfId="11771" xr:uid="{4268EF54-2690-46F0-90C7-56F1ACCDBD69}"/>
    <cellStyle name="20% - Accent2 3 4 3" xfId="5344" xr:uid="{00000000-0005-0000-0000-00000E010000}"/>
    <cellStyle name="20% - Accent2 3 4 3 2" xfId="13839" xr:uid="{C9EE6778-846F-4BB3-B408-7FCF78FF3AFB}"/>
    <cellStyle name="20% - Accent2 3 4 4" xfId="9626" xr:uid="{171B54CC-F42E-4E5A-9CFE-5D7F55BA5928}"/>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97" xr:uid="{4FA74EE9-CAF8-430D-826D-0784A79454CD}"/>
    <cellStyle name="20% - Accent2 3 5 2 3" xfId="12184" xr:uid="{B31404CF-5339-4E88-B6F7-086877E56BA8}"/>
    <cellStyle name="20% - Accent2 3 5 3" xfId="5757" xr:uid="{00000000-0005-0000-0000-000012010000}"/>
    <cellStyle name="20% - Accent2 3 5 3 2" xfId="14252" xr:uid="{858B56CF-2BCF-437E-81CA-540DE3FB763F}"/>
    <cellStyle name="20% - Accent2 3 5 4" xfId="10039" xr:uid="{35B8FB9A-2D09-4371-B839-A10F6ABDF11E}"/>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810" xr:uid="{00DB5F4B-1A9F-42FD-A3A7-C3C14A5BECE3}"/>
    <cellStyle name="20% - Accent2 3 6 2 3" xfId="12597" xr:uid="{1712A472-EBD8-40AE-8AE4-A76731F6CD55}"/>
    <cellStyle name="20% - Accent2 3 6 3" xfId="6170" xr:uid="{00000000-0005-0000-0000-000016010000}"/>
    <cellStyle name="20% - Accent2 3 6 3 2" xfId="14665" xr:uid="{A76F00B3-807B-4248-9B1A-B995CA9B2677}"/>
    <cellStyle name="20% - Accent2 3 6 4" xfId="10452" xr:uid="{595586CE-51E3-4AB3-8587-64D7CCF52446}"/>
    <cellStyle name="20% - Accent2 3 7" xfId="2277" xr:uid="{00000000-0005-0000-0000-000017010000}"/>
    <cellStyle name="20% - Accent2 3 7 2" xfId="6583" xr:uid="{00000000-0005-0000-0000-000018010000}"/>
    <cellStyle name="20% - Accent2 3 7 2 2" xfId="15078" xr:uid="{A009E894-F984-4A26-ADA9-E25B95EC4E00}"/>
    <cellStyle name="20% - Accent2 3 7 3" xfId="10865" xr:uid="{D5567AA1-EB1C-4CF6-83DB-A7F045745807}"/>
    <cellStyle name="20% - Accent2 3 8" xfId="4517" xr:uid="{00000000-0005-0000-0000-000019010000}"/>
    <cellStyle name="20% - Accent2 3 8 2" xfId="13013" xr:uid="{29042730-3BE6-4F9F-B866-310286485B7D}"/>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73" xr:uid="{D41517B8-6698-441D-B630-EB410710593B}"/>
    <cellStyle name="20% - Accent2 4 2 2 3" xfId="11360" xr:uid="{4DBC640A-66CC-4F17-AAF7-035F8202B008}"/>
    <cellStyle name="20% - Accent2 4 2 3" xfId="4933" xr:uid="{00000000-0005-0000-0000-00001E010000}"/>
    <cellStyle name="20% - Accent2 4 2 3 2" xfId="13428" xr:uid="{D3AB406A-CFD4-4F48-9685-92154443FDE5}"/>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86" xr:uid="{192E5753-F9B6-458D-BFFD-8A8C2A36829C}"/>
    <cellStyle name="20% - Accent2 4 3 2 3" xfId="11773" xr:uid="{AE09902E-AE41-4BDB-AB73-70864892F997}"/>
    <cellStyle name="20% - Accent2 4 3 3" xfId="5346" xr:uid="{00000000-0005-0000-0000-000022010000}"/>
    <cellStyle name="20% - Accent2 4 3 3 2" xfId="13841" xr:uid="{9A26685D-9BDE-4E12-A36E-858EEE264D73}"/>
    <cellStyle name="20% - Accent2 4 3 4" xfId="9628" xr:uid="{007AF6CD-C3B9-4A22-A11F-59828D70EECC}"/>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99" xr:uid="{D0B29676-07FB-4D06-B3E8-BC717A984D78}"/>
    <cellStyle name="20% - Accent2 4 4 2 3" xfId="12186" xr:uid="{90B2A128-3D68-4645-9BF0-559D67C7A13F}"/>
    <cellStyle name="20% - Accent2 4 4 3" xfId="5759" xr:uid="{00000000-0005-0000-0000-000026010000}"/>
    <cellStyle name="20% - Accent2 4 4 3 2" xfId="14254" xr:uid="{3F487F21-79AC-48AA-9E81-2B21520D5EC6}"/>
    <cellStyle name="20% - Accent2 4 4 4" xfId="10041" xr:uid="{A29CC600-99D8-402B-B2C0-8D36EF7E25CE}"/>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812" xr:uid="{0F4E161D-E1A4-460D-95BD-27C0AA4AD59C}"/>
    <cellStyle name="20% - Accent2 4 5 2 3" xfId="12599" xr:uid="{C34A9390-B8C1-4112-B4CA-265506D87A24}"/>
    <cellStyle name="20% - Accent2 4 5 3" xfId="6172" xr:uid="{00000000-0005-0000-0000-00002A010000}"/>
    <cellStyle name="20% - Accent2 4 5 3 2" xfId="14667" xr:uid="{D7118CB7-C536-41F3-B53B-5213E8AEE112}"/>
    <cellStyle name="20% - Accent2 4 5 4" xfId="10454" xr:uid="{3C25CC71-FD02-4FB3-8FFD-308BE4291754}"/>
    <cellStyle name="20% - Accent2 4 6" xfId="2279" xr:uid="{00000000-0005-0000-0000-00002B010000}"/>
    <cellStyle name="20% - Accent2 4 6 2" xfId="6585" xr:uid="{00000000-0005-0000-0000-00002C010000}"/>
    <cellStyle name="20% - Accent2 4 6 2 2" xfId="15080" xr:uid="{BE65BD18-D02E-4A5A-97DB-3C7875F14F00}"/>
    <cellStyle name="20% - Accent2 4 6 3" xfId="10867" xr:uid="{610402A9-C7DE-4635-B6E4-3B1176EDE92E}"/>
    <cellStyle name="20% - Accent2 4 7" xfId="4519" xr:uid="{00000000-0005-0000-0000-00002D010000}"/>
    <cellStyle name="20% - Accent2 4 7 2" xfId="13015" xr:uid="{4F3D1964-756E-45D4-8DE5-BCBD43634354}"/>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2 2 2" xfId="15566" xr:uid="{05E04B97-C486-4466-A41B-23CA9BF46341}"/>
    <cellStyle name="20% - Accent2 5 2 3" xfId="11353" xr:uid="{107B7A7B-6C0C-4F63-B476-30D4C1AF3B41}"/>
    <cellStyle name="20% - Accent2 5 3" xfId="4926" xr:uid="{00000000-0005-0000-0000-000031010000}"/>
    <cellStyle name="20% - Accent2 5 3 2" xfId="13421" xr:uid="{36CCFD2D-7A15-45F3-86AA-6F35494A3BCE}"/>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2 2 2" xfId="15979" xr:uid="{BD95C545-D047-4FF2-94EA-05C439D24CEA}"/>
    <cellStyle name="20% - Accent2 6 2 3" xfId="11766" xr:uid="{EDB1A44D-C7A2-4C2F-89F7-118D4702FB0B}"/>
    <cellStyle name="20% - Accent2 6 3" xfId="5339" xr:uid="{00000000-0005-0000-0000-000035010000}"/>
    <cellStyle name="20% - Accent2 6 3 2" xfId="13834" xr:uid="{438E10DC-A29A-4A13-BBB3-6D29F65551DC}"/>
    <cellStyle name="20% - Accent2 6 4" xfId="9621" xr:uid="{A0C0CB22-6EA8-433D-A725-DF08DFA323CC}"/>
    <cellStyle name="20% - Accent2 7" xfId="1445" xr:uid="{00000000-0005-0000-0000-000036010000}"/>
    <cellStyle name="20% - Accent2 7 2" xfId="3675" xr:uid="{00000000-0005-0000-0000-000037010000}"/>
    <cellStyle name="20% - Accent2 7 2 2" xfId="7897" xr:uid="{00000000-0005-0000-0000-000038010000}"/>
    <cellStyle name="20% - Accent2 7 2 2 2" xfId="16392" xr:uid="{D5BFD776-4897-4DB9-BCDC-149309649A20}"/>
    <cellStyle name="20% - Accent2 7 2 3" xfId="12179" xr:uid="{60A9E162-3662-4B89-B62D-BDA596B0B1B0}"/>
    <cellStyle name="20% - Accent2 7 3" xfId="5752" xr:uid="{00000000-0005-0000-0000-000039010000}"/>
    <cellStyle name="20% - Accent2 7 3 2" xfId="14247" xr:uid="{82E8CB86-AA9D-4740-8079-6176657E8B95}"/>
    <cellStyle name="20% - Accent2 7 4" xfId="10034" xr:uid="{E0673594-580B-4E0C-AB1A-5648007A6BE1}"/>
    <cellStyle name="20% - Accent2 8" xfId="1859" xr:uid="{00000000-0005-0000-0000-00003A010000}"/>
    <cellStyle name="20% - Accent2 8 2" xfId="4088" xr:uid="{00000000-0005-0000-0000-00003B010000}"/>
    <cellStyle name="20% - Accent2 8 2 2" xfId="8310" xr:uid="{00000000-0005-0000-0000-00003C010000}"/>
    <cellStyle name="20% - Accent2 8 2 2 2" xfId="16805" xr:uid="{34236D5B-363C-4589-BAD2-7407EBFF54CD}"/>
    <cellStyle name="20% - Accent2 8 2 3" xfId="12592" xr:uid="{962C416B-3E28-4D45-8C49-591629DD12FB}"/>
    <cellStyle name="20% - Accent2 8 3" xfId="6165" xr:uid="{00000000-0005-0000-0000-00003D010000}"/>
    <cellStyle name="20% - Accent2 8 3 2" xfId="14660" xr:uid="{AF9AC795-4617-4290-BB02-B824714E0657}"/>
    <cellStyle name="20% - Accent2 8 4" xfId="10447" xr:uid="{64643C29-310B-4380-A275-96EFEF49C057}"/>
    <cellStyle name="20% - Accent2 9" xfId="2272" xr:uid="{00000000-0005-0000-0000-00003E010000}"/>
    <cellStyle name="20% - Accent2 9 2" xfId="6578" xr:uid="{00000000-0005-0000-0000-00003F010000}"/>
    <cellStyle name="20% - Accent2 9 2 2" xfId="15073" xr:uid="{F2E37FE4-6823-4B83-99DA-20DCDBB85037}"/>
    <cellStyle name="20% - Accent2 9 3" xfId="10860" xr:uid="{4C667D19-00F8-4970-91BB-59AB627949AC}"/>
    <cellStyle name="20% - Accent3" xfId="17" builtinId="38" customBuiltin="1"/>
    <cellStyle name="20% - Accent3 10" xfId="4520" xr:uid="{00000000-0005-0000-0000-000041010000}"/>
    <cellStyle name="20% - Accent3 10 2" xfId="13016" xr:uid="{F0C22C68-872C-4BF7-9D16-3965B032948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77" xr:uid="{B38835C5-E032-4AB4-9516-BE94A0610BA9}"/>
    <cellStyle name="20% - Accent3 2 2 2 2 2 3" xfId="11364" xr:uid="{6C79E814-D762-4430-9A76-AE0414AB0E83}"/>
    <cellStyle name="20% - Accent3 2 2 2 2 3" xfId="4937" xr:uid="{00000000-0005-0000-0000-000048010000}"/>
    <cellStyle name="20% - Accent3 2 2 2 2 3 2" xfId="13432" xr:uid="{7C3B4218-0983-4E4D-8185-601CB1DFAD6C}"/>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90" xr:uid="{57F15883-650E-4D89-9E39-80ADFC807EFB}"/>
    <cellStyle name="20% - Accent3 2 2 2 3 2 3" xfId="11777" xr:uid="{F76978F1-464A-4431-B6A7-BB292463D9CC}"/>
    <cellStyle name="20% - Accent3 2 2 2 3 3" xfId="5350" xr:uid="{00000000-0005-0000-0000-00004C010000}"/>
    <cellStyle name="20% - Accent3 2 2 2 3 3 2" xfId="13845" xr:uid="{93E6D5D0-949A-4542-A38F-8FF3305A9660}"/>
    <cellStyle name="20% - Accent3 2 2 2 3 4" xfId="9632" xr:uid="{29F0E5FA-CCD2-4479-8D34-4C112B37683D}"/>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403" xr:uid="{4BB06207-2BF5-4A6C-B7E4-3A667C0D464F}"/>
    <cellStyle name="20% - Accent3 2 2 2 4 2 3" xfId="12190" xr:uid="{7FC21B12-8EDD-4665-9C31-71ADEF7D04C3}"/>
    <cellStyle name="20% - Accent3 2 2 2 4 3" xfId="5763" xr:uid="{00000000-0005-0000-0000-000050010000}"/>
    <cellStyle name="20% - Accent3 2 2 2 4 3 2" xfId="14258" xr:uid="{2C085E8E-CEA0-422D-834B-76C64277C874}"/>
    <cellStyle name="20% - Accent3 2 2 2 4 4" xfId="10045" xr:uid="{8C926256-843C-4BEE-8249-D3215DADF98C}"/>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816" xr:uid="{041DE4DB-5AA4-40DB-B23D-D9B0B819B076}"/>
    <cellStyle name="20% - Accent3 2 2 2 5 2 3" xfId="12603" xr:uid="{99816280-E925-4767-84CB-DF0B652B2F0E}"/>
    <cellStyle name="20% - Accent3 2 2 2 5 3" xfId="6176" xr:uid="{00000000-0005-0000-0000-000054010000}"/>
    <cellStyle name="20% - Accent3 2 2 2 5 3 2" xfId="14671" xr:uid="{87DA6858-E07A-43F2-8AA0-8E75F100E39F}"/>
    <cellStyle name="20% - Accent3 2 2 2 5 4" xfId="10458" xr:uid="{C8A3B73C-65F8-4B54-B560-0643DE5D1422}"/>
    <cellStyle name="20% - Accent3 2 2 2 6" xfId="2283" xr:uid="{00000000-0005-0000-0000-000055010000}"/>
    <cellStyle name="20% - Accent3 2 2 2 6 2" xfId="6589" xr:uid="{00000000-0005-0000-0000-000056010000}"/>
    <cellStyle name="20% - Accent3 2 2 2 6 2 2" xfId="15084" xr:uid="{A884502D-E22B-4B8F-B024-89915E1C7D45}"/>
    <cellStyle name="20% - Accent3 2 2 2 6 3" xfId="10871" xr:uid="{45099986-2EA8-4128-A2B4-0855AD14FB21}"/>
    <cellStyle name="20% - Accent3 2 2 2 7" xfId="4523" xr:uid="{00000000-0005-0000-0000-000057010000}"/>
    <cellStyle name="20% - Accent3 2 2 2 7 2" xfId="13019" xr:uid="{876CC973-AB4D-475E-A83F-3DFCD1F069B7}"/>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76" xr:uid="{438CF4DE-0F3A-465C-B9CC-319F96BA47F8}"/>
    <cellStyle name="20% - Accent3 2 2 3 2 3" xfId="11363" xr:uid="{F3FD8477-D2FD-404C-B4B6-3ADC61B732F9}"/>
    <cellStyle name="20% - Accent3 2 2 3 3" xfId="4936" xr:uid="{00000000-0005-0000-0000-00005B010000}"/>
    <cellStyle name="20% - Accent3 2 2 3 3 2" xfId="13431" xr:uid="{6E505B79-7132-4B60-83C5-11EDB2A9DEF3}"/>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89" xr:uid="{0EE19786-DDD1-4186-95F9-6E3F311D873A}"/>
    <cellStyle name="20% - Accent3 2 2 4 2 3" xfId="11776" xr:uid="{6A876F99-AA71-4F0A-B5F4-14D01882132A}"/>
    <cellStyle name="20% - Accent3 2 2 4 3" xfId="5349" xr:uid="{00000000-0005-0000-0000-00005F010000}"/>
    <cellStyle name="20% - Accent3 2 2 4 3 2" xfId="13844" xr:uid="{1B6192B5-D43C-4B80-982C-26273B77824C}"/>
    <cellStyle name="20% - Accent3 2 2 4 4" xfId="9631" xr:uid="{C8F08BFA-3025-40A9-AB82-01D857E2356E}"/>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402" xr:uid="{95596AED-2CFE-45A9-AA4E-01117F04E46E}"/>
    <cellStyle name="20% - Accent3 2 2 5 2 3" xfId="12189" xr:uid="{8F394B03-C135-43D4-A986-A2726349DCC5}"/>
    <cellStyle name="20% - Accent3 2 2 5 3" xfId="5762" xr:uid="{00000000-0005-0000-0000-000063010000}"/>
    <cellStyle name="20% - Accent3 2 2 5 3 2" xfId="14257" xr:uid="{3860783D-D2CC-4B90-A707-B293D512ED22}"/>
    <cellStyle name="20% - Accent3 2 2 5 4" xfId="10044" xr:uid="{F76DB425-6CAC-4A86-9155-A4538C4CD7CA}"/>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815" xr:uid="{82F32DDE-C26F-462C-9F93-7CC6DE43394D}"/>
    <cellStyle name="20% - Accent3 2 2 6 2 3" xfId="12602" xr:uid="{DE9081CC-7D62-4820-B8F0-0E66DAE381AA}"/>
    <cellStyle name="20% - Accent3 2 2 6 3" xfId="6175" xr:uid="{00000000-0005-0000-0000-000067010000}"/>
    <cellStyle name="20% - Accent3 2 2 6 3 2" xfId="14670" xr:uid="{8A808B44-1877-45BF-BA0D-BD429E3C771D}"/>
    <cellStyle name="20% - Accent3 2 2 6 4" xfId="10457" xr:uid="{D545E2B4-C670-453A-8912-B2143E4CE7DC}"/>
    <cellStyle name="20% - Accent3 2 2 7" xfId="2282" xr:uid="{00000000-0005-0000-0000-000068010000}"/>
    <cellStyle name="20% - Accent3 2 2 7 2" xfId="6588" xr:uid="{00000000-0005-0000-0000-000069010000}"/>
    <cellStyle name="20% - Accent3 2 2 7 2 2" xfId="15083" xr:uid="{E7AA9BB2-0066-4048-B820-3C4D49289993}"/>
    <cellStyle name="20% - Accent3 2 2 7 3" xfId="10870" xr:uid="{C38AC636-582B-4EBA-8EFB-A32B8BF430AD}"/>
    <cellStyle name="20% - Accent3 2 2 8" xfId="4522" xr:uid="{00000000-0005-0000-0000-00006A010000}"/>
    <cellStyle name="20% - Accent3 2 2 8 2" xfId="13018" xr:uid="{ADF1A22B-20B4-41D3-BBF8-06658D8D392A}"/>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78" xr:uid="{89C0837D-A905-44A4-BBD7-95A185039CC5}"/>
    <cellStyle name="20% - Accent3 2 3 2 2 3" xfId="11365" xr:uid="{B8B012F3-D5F8-4197-98D5-7BA5AB7FCAA4}"/>
    <cellStyle name="20% - Accent3 2 3 2 3" xfId="4938" xr:uid="{00000000-0005-0000-0000-00006F010000}"/>
    <cellStyle name="20% - Accent3 2 3 2 3 2" xfId="13433" xr:uid="{637811EF-AC74-4328-8C0A-F3DACB19958E}"/>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91" xr:uid="{C5A982D4-C122-496A-9744-749A21A77E21}"/>
    <cellStyle name="20% - Accent3 2 3 3 2 3" xfId="11778" xr:uid="{F92AE356-AC3F-4716-AC2A-472431008F28}"/>
    <cellStyle name="20% - Accent3 2 3 3 3" xfId="5351" xr:uid="{00000000-0005-0000-0000-000073010000}"/>
    <cellStyle name="20% - Accent3 2 3 3 3 2" xfId="13846" xr:uid="{D6FA9DA9-29A3-4E47-A25F-763FD7DBBDE1}"/>
    <cellStyle name="20% - Accent3 2 3 3 4" xfId="9633" xr:uid="{CC01704B-4030-4BD8-88F8-F7494F56FCE1}"/>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404" xr:uid="{E2D6C01C-9145-4EF3-9CC0-9CAB39801344}"/>
    <cellStyle name="20% - Accent3 2 3 4 2 3" xfId="12191" xr:uid="{63362994-B7D5-4EC2-88DE-E5662846A354}"/>
    <cellStyle name="20% - Accent3 2 3 4 3" xfId="5764" xr:uid="{00000000-0005-0000-0000-000077010000}"/>
    <cellStyle name="20% - Accent3 2 3 4 3 2" xfId="14259" xr:uid="{61D87DEC-64C7-4BD2-90D0-42F3D0AA6B75}"/>
    <cellStyle name="20% - Accent3 2 3 4 4" xfId="10046" xr:uid="{D3777DB0-A5A6-4AA5-A072-22BB6AB01C71}"/>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817" xr:uid="{398850FB-213A-4C0F-B110-FA1B629CBAD8}"/>
    <cellStyle name="20% - Accent3 2 3 5 2 3" xfId="12604" xr:uid="{3CE33253-D991-43B5-A8AE-4E223A6EF878}"/>
    <cellStyle name="20% - Accent3 2 3 5 3" xfId="6177" xr:uid="{00000000-0005-0000-0000-00007B010000}"/>
    <cellStyle name="20% - Accent3 2 3 5 3 2" xfId="14672" xr:uid="{2A58A4DB-609E-4B08-883E-EFFBCC79AC75}"/>
    <cellStyle name="20% - Accent3 2 3 5 4" xfId="10459" xr:uid="{FCDA91E7-5A8E-4CD8-9698-D0E7FD10D0BF}"/>
    <cellStyle name="20% - Accent3 2 3 6" xfId="2284" xr:uid="{00000000-0005-0000-0000-00007C010000}"/>
    <cellStyle name="20% - Accent3 2 3 6 2" xfId="6590" xr:uid="{00000000-0005-0000-0000-00007D010000}"/>
    <cellStyle name="20% - Accent3 2 3 6 2 2" xfId="15085" xr:uid="{9C3F9C0A-6884-43FD-82E8-C67BD4E76DC2}"/>
    <cellStyle name="20% - Accent3 2 3 6 3" xfId="10872" xr:uid="{F0884C0F-29CD-42EE-BCF3-185BE2E88539}"/>
    <cellStyle name="20% - Accent3 2 3 7" xfId="4524" xr:uid="{00000000-0005-0000-0000-00007E010000}"/>
    <cellStyle name="20% - Accent3 2 3 7 2" xfId="13020" xr:uid="{E1A3F4A6-561F-4B4F-B07A-A304E72ACA02}"/>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75" xr:uid="{D42E779D-5DD2-45CC-B7E4-F6BB55764546}"/>
    <cellStyle name="20% - Accent3 2 4 2 3" xfId="11362" xr:uid="{B69A9D58-8FE4-42A2-84AF-B571CB69EA0E}"/>
    <cellStyle name="20% - Accent3 2 4 3" xfId="4935" xr:uid="{00000000-0005-0000-0000-000082010000}"/>
    <cellStyle name="20% - Accent3 2 4 3 2" xfId="13430" xr:uid="{4933CC05-BE98-4753-B628-9927548F2C3D}"/>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88" xr:uid="{33458310-982F-435E-A094-5D3CE2606E01}"/>
    <cellStyle name="20% - Accent3 2 5 2 3" xfId="11775" xr:uid="{9AE58AE1-B952-473F-B824-3315C77F16D2}"/>
    <cellStyle name="20% - Accent3 2 5 3" xfId="5348" xr:uid="{00000000-0005-0000-0000-000086010000}"/>
    <cellStyle name="20% - Accent3 2 5 3 2" xfId="13843" xr:uid="{DAEF7A45-FB3C-40DF-8895-B02E7919DDD2}"/>
    <cellStyle name="20% - Accent3 2 5 4" xfId="9630" xr:uid="{9A727C6E-8360-4F20-843D-3214DB559491}"/>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401" xr:uid="{1CA0BE34-E6AC-4D64-B3FA-0507B773F49C}"/>
    <cellStyle name="20% - Accent3 2 6 2 3" xfId="12188" xr:uid="{9191E5EB-426C-4991-BBE0-2B556E8C2268}"/>
    <cellStyle name="20% - Accent3 2 6 3" xfId="5761" xr:uid="{00000000-0005-0000-0000-00008A010000}"/>
    <cellStyle name="20% - Accent3 2 6 3 2" xfId="14256" xr:uid="{4816BC46-1D05-4A04-B9D2-235B85CE1B13}"/>
    <cellStyle name="20% - Accent3 2 6 4" xfId="10043" xr:uid="{EAA61540-BDF7-46B6-AF50-37A8E123BD70}"/>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814" xr:uid="{5D6ABD1F-AA44-4F81-A502-09532B89089E}"/>
    <cellStyle name="20% - Accent3 2 7 2 3" xfId="12601" xr:uid="{59B28C15-E9F6-4BE6-9E92-88A6E0D3A51B}"/>
    <cellStyle name="20% - Accent3 2 7 3" xfId="6174" xr:uid="{00000000-0005-0000-0000-00008E010000}"/>
    <cellStyle name="20% - Accent3 2 7 3 2" xfId="14669" xr:uid="{468696A7-5FDC-4F1F-8F88-414970D53E44}"/>
    <cellStyle name="20% - Accent3 2 7 4" xfId="10456" xr:uid="{17434D66-F2B8-46C3-BAC8-D5B9BF268329}"/>
    <cellStyle name="20% - Accent3 2 8" xfId="2281" xr:uid="{00000000-0005-0000-0000-00008F010000}"/>
    <cellStyle name="20% - Accent3 2 8 2" xfId="6587" xr:uid="{00000000-0005-0000-0000-000090010000}"/>
    <cellStyle name="20% - Accent3 2 8 2 2" xfId="15082" xr:uid="{B8D10B73-D416-45D1-B56B-EB23917E67AD}"/>
    <cellStyle name="20% - Accent3 2 8 3" xfId="10869" xr:uid="{4E5F23A7-4778-48AC-9F73-48BD574A932B}"/>
    <cellStyle name="20% - Accent3 2 9" xfId="4521" xr:uid="{00000000-0005-0000-0000-000091010000}"/>
    <cellStyle name="20% - Accent3 2 9 2" xfId="13017" xr:uid="{4FBC18D3-24AE-4833-AE4A-45E653AA2368}"/>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80" xr:uid="{D3A91755-1B9C-4C28-8263-5213EAB41AD4}"/>
    <cellStyle name="20% - Accent3 3 2 2 2 3" xfId="11367" xr:uid="{40163FF8-A18D-4805-BB28-E8181548D2D0}"/>
    <cellStyle name="20% - Accent3 3 2 2 3" xfId="4940" xr:uid="{00000000-0005-0000-0000-000097010000}"/>
    <cellStyle name="20% - Accent3 3 2 2 3 2" xfId="13435" xr:uid="{756EED3A-E879-4440-9E14-FD8534BB3A1D}"/>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93" xr:uid="{B4B0A1B1-1C88-4318-B7FE-BE6B2D74B1D9}"/>
    <cellStyle name="20% - Accent3 3 2 3 2 3" xfId="11780" xr:uid="{B82DB3E5-596F-4050-A7FE-04EF02272055}"/>
    <cellStyle name="20% - Accent3 3 2 3 3" xfId="5353" xr:uid="{00000000-0005-0000-0000-00009B010000}"/>
    <cellStyle name="20% - Accent3 3 2 3 3 2" xfId="13848" xr:uid="{8630CCBF-EA20-462D-B401-9D7E5363587B}"/>
    <cellStyle name="20% - Accent3 3 2 3 4" xfId="9635" xr:uid="{E9905201-2CB9-4F4B-BD09-D400AAC27313}"/>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406" xr:uid="{D260716F-6843-4E9A-B555-952E2D29DCCF}"/>
    <cellStyle name="20% - Accent3 3 2 4 2 3" xfId="12193" xr:uid="{C986665E-36A8-4470-B207-F107695B9039}"/>
    <cellStyle name="20% - Accent3 3 2 4 3" xfId="5766" xr:uid="{00000000-0005-0000-0000-00009F010000}"/>
    <cellStyle name="20% - Accent3 3 2 4 3 2" xfId="14261" xr:uid="{0EFF3C35-14B6-429E-B8F7-A25973CF8CE2}"/>
    <cellStyle name="20% - Accent3 3 2 4 4" xfId="10048" xr:uid="{0FDADD32-8EF6-4549-AF83-4405AFA0FD22}"/>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819" xr:uid="{4445C255-5B90-4F54-A0DE-9FD0CFD8FBC8}"/>
    <cellStyle name="20% - Accent3 3 2 5 2 3" xfId="12606" xr:uid="{221D5460-3BEB-4A10-8D9C-6FAA9CB88324}"/>
    <cellStyle name="20% - Accent3 3 2 5 3" xfId="6179" xr:uid="{00000000-0005-0000-0000-0000A3010000}"/>
    <cellStyle name="20% - Accent3 3 2 5 3 2" xfId="14674" xr:uid="{32FF3535-651B-42E6-9E68-A11EBAFBC11D}"/>
    <cellStyle name="20% - Accent3 3 2 5 4" xfId="10461" xr:uid="{FA81CDCF-DB74-4F8B-85FA-5B2F26E9AD72}"/>
    <cellStyle name="20% - Accent3 3 2 6" xfId="2286" xr:uid="{00000000-0005-0000-0000-0000A4010000}"/>
    <cellStyle name="20% - Accent3 3 2 6 2" xfId="6592" xr:uid="{00000000-0005-0000-0000-0000A5010000}"/>
    <cellStyle name="20% - Accent3 3 2 6 2 2" xfId="15087" xr:uid="{D2CBED1A-D549-4ADD-B839-362CF16B8E68}"/>
    <cellStyle name="20% - Accent3 3 2 6 3" xfId="10874" xr:uid="{848A782E-592A-4470-A95B-AF6CE31326F8}"/>
    <cellStyle name="20% - Accent3 3 2 7" xfId="4526" xr:uid="{00000000-0005-0000-0000-0000A6010000}"/>
    <cellStyle name="20% - Accent3 3 2 7 2" xfId="13022" xr:uid="{B6CEE799-3B34-476F-9BDE-9BBC398F1BDD}"/>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79" xr:uid="{380C21DD-EDC4-4901-8D3B-8B611DFBAC1C}"/>
    <cellStyle name="20% - Accent3 3 3 2 3" xfId="11366" xr:uid="{FE6246F8-E5E2-4051-A208-994F00D79183}"/>
    <cellStyle name="20% - Accent3 3 3 3" xfId="4939" xr:uid="{00000000-0005-0000-0000-0000AA010000}"/>
    <cellStyle name="20% - Accent3 3 3 3 2" xfId="13434" xr:uid="{A3EA4913-DE5A-4928-83A7-D48F1BE9B0E5}"/>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92" xr:uid="{8B947469-DADA-44A3-BE86-FD797569C56C}"/>
    <cellStyle name="20% - Accent3 3 4 2 3" xfId="11779" xr:uid="{474379D9-98DB-4C51-B3CA-A254C7B8741C}"/>
    <cellStyle name="20% - Accent3 3 4 3" xfId="5352" xr:uid="{00000000-0005-0000-0000-0000AE010000}"/>
    <cellStyle name="20% - Accent3 3 4 3 2" xfId="13847" xr:uid="{17C73AD9-42C7-4049-90DE-BC57743EAFE2}"/>
    <cellStyle name="20% - Accent3 3 4 4" xfId="9634" xr:uid="{C1028FB0-7FB2-4907-80A6-516B4533E223}"/>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405" xr:uid="{5432ED83-CB79-43B9-A1B3-86B0E99D9C6D}"/>
    <cellStyle name="20% - Accent3 3 5 2 3" xfId="12192" xr:uid="{E15AC31C-2550-40EE-8A99-56ADA9EC66D5}"/>
    <cellStyle name="20% - Accent3 3 5 3" xfId="5765" xr:uid="{00000000-0005-0000-0000-0000B2010000}"/>
    <cellStyle name="20% - Accent3 3 5 3 2" xfId="14260" xr:uid="{54AFB3C5-AC04-415F-B20E-EBC0A4F4589D}"/>
    <cellStyle name="20% - Accent3 3 5 4" xfId="10047" xr:uid="{E940C6CD-248B-452B-A447-9E96E8EA9EF7}"/>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818" xr:uid="{CD7BB07A-86F0-47CA-8EAA-CA91242A12AF}"/>
    <cellStyle name="20% - Accent3 3 6 2 3" xfId="12605" xr:uid="{01964EE2-4EB8-42AF-8BD1-666B38E12EFF}"/>
    <cellStyle name="20% - Accent3 3 6 3" xfId="6178" xr:uid="{00000000-0005-0000-0000-0000B6010000}"/>
    <cellStyle name="20% - Accent3 3 6 3 2" xfId="14673" xr:uid="{CE98CAB2-E324-4384-B5B6-9A7E9E9E58B9}"/>
    <cellStyle name="20% - Accent3 3 6 4" xfId="10460" xr:uid="{F8B7B037-497E-4CDF-8B78-5EE49972D7A9}"/>
    <cellStyle name="20% - Accent3 3 7" xfId="2285" xr:uid="{00000000-0005-0000-0000-0000B7010000}"/>
    <cellStyle name="20% - Accent3 3 7 2" xfId="6591" xr:uid="{00000000-0005-0000-0000-0000B8010000}"/>
    <cellStyle name="20% - Accent3 3 7 2 2" xfId="15086" xr:uid="{1507027E-A7B9-40B8-A974-DC5810C5C599}"/>
    <cellStyle name="20% - Accent3 3 7 3" xfId="10873" xr:uid="{B3319C44-2D15-40F8-A012-5ECDE8696E3C}"/>
    <cellStyle name="20% - Accent3 3 8" xfId="4525" xr:uid="{00000000-0005-0000-0000-0000B9010000}"/>
    <cellStyle name="20% - Accent3 3 8 2" xfId="13021" xr:uid="{7846CE0C-6D27-478B-91B5-9F48CAE22B8E}"/>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81" xr:uid="{475A06D0-4632-4BEC-A5DC-66C76A579057}"/>
    <cellStyle name="20% - Accent3 4 2 2 3" xfId="11368" xr:uid="{5319EA02-CC9C-4C28-ACDA-2EC03B31B2A4}"/>
    <cellStyle name="20% - Accent3 4 2 3" xfId="4941" xr:uid="{00000000-0005-0000-0000-0000BE010000}"/>
    <cellStyle name="20% - Accent3 4 2 3 2" xfId="13436" xr:uid="{AEBA2AEA-F2D9-4B8C-94BF-B1153C80F32D}"/>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94" xr:uid="{428F1D76-FAC4-4018-99C0-DFCC33802DCC}"/>
    <cellStyle name="20% - Accent3 4 3 2 3" xfId="11781" xr:uid="{9FF33D56-C362-4B53-823C-D01703267E10}"/>
    <cellStyle name="20% - Accent3 4 3 3" xfId="5354" xr:uid="{00000000-0005-0000-0000-0000C2010000}"/>
    <cellStyle name="20% - Accent3 4 3 3 2" xfId="13849" xr:uid="{9D7BA5D1-97B7-4319-8522-E932A27F3375}"/>
    <cellStyle name="20% - Accent3 4 3 4" xfId="9636" xr:uid="{045A87FA-8F06-4F64-B9C8-BF7BC9BDD6C9}"/>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407" xr:uid="{5D6DA42C-7355-41CB-BE9D-35DC340EA935}"/>
    <cellStyle name="20% - Accent3 4 4 2 3" xfId="12194" xr:uid="{A2C7DE09-51B7-46CC-B9B6-6E8522459F8E}"/>
    <cellStyle name="20% - Accent3 4 4 3" xfId="5767" xr:uid="{00000000-0005-0000-0000-0000C6010000}"/>
    <cellStyle name="20% - Accent3 4 4 3 2" xfId="14262" xr:uid="{9DF345B7-D36B-41B4-ADF2-3BCC9A6C5A86}"/>
    <cellStyle name="20% - Accent3 4 4 4" xfId="10049" xr:uid="{7065FED9-28DB-4BDB-81CD-853EEB48777D}"/>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820" xr:uid="{76582A2B-93D6-49B3-A981-747E58110113}"/>
    <cellStyle name="20% - Accent3 4 5 2 3" xfId="12607" xr:uid="{214003D1-098C-49B8-BCEC-047B82A0B6E9}"/>
    <cellStyle name="20% - Accent3 4 5 3" xfId="6180" xr:uid="{00000000-0005-0000-0000-0000CA010000}"/>
    <cellStyle name="20% - Accent3 4 5 3 2" xfId="14675" xr:uid="{4C87CF1B-FFAB-464B-B4B6-801C4589BF67}"/>
    <cellStyle name="20% - Accent3 4 5 4" xfId="10462" xr:uid="{BEE2A7A8-5AB1-49E6-9A21-DB2E0ACF73B9}"/>
    <cellStyle name="20% - Accent3 4 6" xfId="2287" xr:uid="{00000000-0005-0000-0000-0000CB010000}"/>
    <cellStyle name="20% - Accent3 4 6 2" xfId="6593" xr:uid="{00000000-0005-0000-0000-0000CC010000}"/>
    <cellStyle name="20% - Accent3 4 6 2 2" xfId="15088" xr:uid="{7D5F5B8E-B2C8-429B-8959-F8B89ABDFBB0}"/>
    <cellStyle name="20% - Accent3 4 6 3" xfId="10875" xr:uid="{7568778B-20CC-49B6-9444-3C92F4C0AD4F}"/>
    <cellStyle name="20% - Accent3 4 7" xfId="4527" xr:uid="{00000000-0005-0000-0000-0000CD010000}"/>
    <cellStyle name="20% - Accent3 4 7 2" xfId="13023" xr:uid="{7B2E43D1-EC10-46D8-983A-79C4E85B5B92}"/>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2 2 2" xfId="15574" xr:uid="{CB178BA9-7038-4571-AA83-3D0285E879C0}"/>
    <cellStyle name="20% - Accent3 5 2 3" xfId="11361" xr:uid="{22D7B20E-8C69-4059-9E10-8C3C86A5FBEC}"/>
    <cellStyle name="20% - Accent3 5 3" xfId="4934" xr:uid="{00000000-0005-0000-0000-0000D1010000}"/>
    <cellStyle name="20% - Accent3 5 3 2" xfId="13429" xr:uid="{719E7934-E550-4BD6-A4FB-6132A59C69E7}"/>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2 2 2" xfId="15987" xr:uid="{08D54E6C-813A-4E25-B4E2-33E20D542D49}"/>
    <cellStyle name="20% - Accent3 6 2 3" xfId="11774" xr:uid="{3D02D995-F444-488D-98FC-BBFABFEC7EDB}"/>
    <cellStyle name="20% - Accent3 6 3" xfId="5347" xr:uid="{00000000-0005-0000-0000-0000D5010000}"/>
    <cellStyle name="20% - Accent3 6 3 2" xfId="13842" xr:uid="{8CF14DA2-8C2A-4B3A-933C-A367B8DC2619}"/>
    <cellStyle name="20% - Accent3 6 4" xfId="9629" xr:uid="{D866FC3D-E050-4EE1-A6B8-5EB9433E5D3A}"/>
    <cellStyle name="20% - Accent3 7" xfId="1453" xr:uid="{00000000-0005-0000-0000-0000D6010000}"/>
    <cellStyle name="20% - Accent3 7 2" xfId="3683" xr:uid="{00000000-0005-0000-0000-0000D7010000}"/>
    <cellStyle name="20% - Accent3 7 2 2" xfId="7905" xr:uid="{00000000-0005-0000-0000-0000D8010000}"/>
    <cellStyle name="20% - Accent3 7 2 2 2" xfId="16400" xr:uid="{57EB054A-DEBF-4321-9659-8D23D32E1327}"/>
    <cellStyle name="20% - Accent3 7 2 3" xfId="12187" xr:uid="{3640CBB1-9D6B-456E-8881-F5F28E789544}"/>
    <cellStyle name="20% - Accent3 7 3" xfId="5760" xr:uid="{00000000-0005-0000-0000-0000D9010000}"/>
    <cellStyle name="20% - Accent3 7 3 2" xfId="14255" xr:uid="{CABABBF4-E89E-4BCE-869D-FD64E7DC23E1}"/>
    <cellStyle name="20% - Accent3 7 4" xfId="10042" xr:uid="{702C0CCA-91F1-473C-989C-C116E7530BED}"/>
    <cellStyle name="20% - Accent3 8" xfId="1867" xr:uid="{00000000-0005-0000-0000-0000DA010000}"/>
    <cellStyle name="20% - Accent3 8 2" xfId="4096" xr:uid="{00000000-0005-0000-0000-0000DB010000}"/>
    <cellStyle name="20% - Accent3 8 2 2" xfId="8318" xr:uid="{00000000-0005-0000-0000-0000DC010000}"/>
    <cellStyle name="20% - Accent3 8 2 2 2" xfId="16813" xr:uid="{DD2C75A2-F066-49BD-BE9F-557DC504A1E2}"/>
    <cellStyle name="20% - Accent3 8 2 3" xfId="12600" xr:uid="{AD720E15-DE2E-4FB1-89AC-01DF5A522286}"/>
    <cellStyle name="20% - Accent3 8 3" xfId="6173" xr:uid="{00000000-0005-0000-0000-0000DD010000}"/>
    <cellStyle name="20% - Accent3 8 3 2" xfId="14668" xr:uid="{979D4E6B-F89E-4D4B-8B43-29C7DC22E7E7}"/>
    <cellStyle name="20% - Accent3 8 4" xfId="10455" xr:uid="{C0FB4690-0D51-4F2A-B8FA-BF4C6CDDFFB9}"/>
    <cellStyle name="20% - Accent3 9" xfId="2280" xr:uid="{00000000-0005-0000-0000-0000DE010000}"/>
    <cellStyle name="20% - Accent3 9 2" xfId="6586" xr:uid="{00000000-0005-0000-0000-0000DF010000}"/>
    <cellStyle name="20% - Accent3 9 2 2" xfId="15081" xr:uid="{5CE432D4-28F3-4DDB-BC4B-FA76383ADFE4}"/>
    <cellStyle name="20% - Accent3 9 3" xfId="10868" xr:uid="{7CA0425C-1F60-4057-BA97-B952CEC7F12B}"/>
    <cellStyle name="20% - Accent4" xfId="25" builtinId="42" customBuiltin="1"/>
    <cellStyle name="20% - Accent4 10" xfId="4528" xr:uid="{00000000-0005-0000-0000-0000E1010000}"/>
    <cellStyle name="20% - Accent4 10 2" xfId="13024" xr:uid="{797DBCF2-D2F8-48EF-976D-65BAC06D946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85" xr:uid="{3056473E-A941-4B42-B893-84220690253C}"/>
    <cellStyle name="20% - Accent4 2 2 2 2 2 3" xfId="11372" xr:uid="{B52EAE71-009B-42E1-87FE-672DAF2A758D}"/>
    <cellStyle name="20% - Accent4 2 2 2 2 3" xfId="4945" xr:uid="{00000000-0005-0000-0000-0000E8010000}"/>
    <cellStyle name="20% - Accent4 2 2 2 2 3 2" xfId="13440" xr:uid="{45814A19-D7B7-42BF-87DD-674BE9947B9D}"/>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98" xr:uid="{2C8EB00B-896E-4B8E-A27B-DDD5A749AD46}"/>
    <cellStyle name="20% - Accent4 2 2 2 3 2 3" xfId="11785" xr:uid="{F38385CB-FB7D-429E-A2AE-1588E82F3898}"/>
    <cellStyle name="20% - Accent4 2 2 2 3 3" xfId="5358" xr:uid="{00000000-0005-0000-0000-0000EC010000}"/>
    <cellStyle name="20% - Accent4 2 2 2 3 3 2" xfId="13853" xr:uid="{EA6CFB48-D7C1-4842-AADB-0A80E4E678D9}"/>
    <cellStyle name="20% - Accent4 2 2 2 3 4" xfId="9640" xr:uid="{88A857F5-06CC-41AE-AC5D-42A913C5931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411" xr:uid="{3D1F1686-3F84-419D-B7A0-9B42CF1654BF}"/>
    <cellStyle name="20% - Accent4 2 2 2 4 2 3" xfId="12198" xr:uid="{40926D52-A11D-4D86-AE42-A6A2CD6EFA5A}"/>
    <cellStyle name="20% - Accent4 2 2 2 4 3" xfId="5771" xr:uid="{00000000-0005-0000-0000-0000F0010000}"/>
    <cellStyle name="20% - Accent4 2 2 2 4 3 2" xfId="14266" xr:uid="{EADE204A-E9B4-4EE9-A85C-6194B79ACFB8}"/>
    <cellStyle name="20% - Accent4 2 2 2 4 4" xfId="10053" xr:uid="{CF2E4177-B5E3-4C17-8E90-E76B9D37F334}"/>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824" xr:uid="{08707331-4F1A-45C2-8AC3-1A0C5B43E7B4}"/>
    <cellStyle name="20% - Accent4 2 2 2 5 2 3" xfId="12611" xr:uid="{E361E77C-F4E0-4073-B3ED-E4880128292E}"/>
    <cellStyle name="20% - Accent4 2 2 2 5 3" xfId="6184" xr:uid="{00000000-0005-0000-0000-0000F4010000}"/>
    <cellStyle name="20% - Accent4 2 2 2 5 3 2" xfId="14679" xr:uid="{76CB937E-A06A-4DB4-A25D-98A4B084659F}"/>
    <cellStyle name="20% - Accent4 2 2 2 5 4" xfId="10466" xr:uid="{03632AC4-2D19-4E32-836A-DC9BA7398BB8}"/>
    <cellStyle name="20% - Accent4 2 2 2 6" xfId="2291" xr:uid="{00000000-0005-0000-0000-0000F5010000}"/>
    <cellStyle name="20% - Accent4 2 2 2 6 2" xfId="6597" xr:uid="{00000000-0005-0000-0000-0000F6010000}"/>
    <cellStyle name="20% - Accent4 2 2 2 6 2 2" xfId="15092" xr:uid="{90609D36-E7C8-4AB2-8A03-1002F4FA9251}"/>
    <cellStyle name="20% - Accent4 2 2 2 6 3" xfId="10879" xr:uid="{DB6885A2-857F-4648-9CB5-DCB4080AA063}"/>
    <cellStyle name="20% - Accent4 2 2 2 7" xfId="4531" xr:uid="{00000000-0005-0000-0000-0000F7010000}"/>
    <cellStyle name="20% - Accent4 2 2 2 7 2" xfId="13027" xr:uid="{2FAA400A-0DE1-4EFD-A749-EE087BD2519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84" xr:uid="{1DAEFF5B-63FA-4A79-B50B-88150B61F83A}"/>
    <cellStyle name="20% - Accent4 2 2 3 2 3" xfId="11371" xr:uid="{666671C9-E566-4D67-ADD8-3FCAAA9AE639}"/>
    <cellStyle name="20% - Accent4 2 2 3 3" xfId="4944" xr:uid="{00000000-0005-0000-0000-0000FB010000}"/>
    <cellStyle name="20% - Accent4 2 2 3 3 2" xfId="13439" xr:uid="{7B0DB321-6064-4AEE-80C9-2E4DC03C0271}"/>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97" xr:uid="{741BBB98-B30D-4276-A6E8-3F76583110BB}"/>
    <cellStyle name="20% - Accent4 2 2 4 2 3" xfId="11784" xr:uid="{486CE600-9DF3-4757-A68F-E885C5E47F0B}"/>
    <cellStyle name="20% - Accent4 2 2 4 3" xfId="5357" xr:uid="{00000000-0005-0000-0000-0000FF010000}"/>
    <cellStyle name="20% - Accent4 2 2 4 3 2" xfId="13852" xr:uid="{23AF0397-4180-4FFF-9292-2D8194A25F95}"/>
    <cellStyle name="20% - Accent4 2 2 4 4" xfId="9639" xr:uid="{F33EE3E4-B035-46C1-B241-7DB5E254E79E}"/>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410" xr:uid="{DAA39DB2-9C7A-41C2-83DC-2955BFF5BC21}"/>
    <cellStyle name="20% - Accent4 2 2 5 2 3" xfId="12197" xr:uid="{35419CCD-E4ED-4D1A-8E0A-01C419FDE253}"/>
    <cellStyle name="20% - Accent4 2 2 5 3" xfId="5770" xr:uid="{00000000-0005-0000-0000-000003020000}"/>
    <cellStyle name="20% - Accent4 2 2 5 3 2" xfId="14265" xr:uid="{6F6087D1-8355-418D-ADEC-C7EE083F611A}"/>
    <cellStyle name="20% - Accent4 2 2 5 4" xfId="10052" xr:uid="{270FB0B5-8EF8-420B-BA9B-96A8C2AEB360}"/>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823" xr:uid="{F01405C4-BB5F-4BF0-BE8F-ED780A7CB575}"/>
    <cellStyle name="20% - Accent4 2 2 6 2 3" xfId="12610" xr:uid="{A901DF2E-90C6-4928-89B7-31FA4A609C6F}"/>
    <cellStyle name="20% - Accent4 2 2 6 3" xfId="6183" xr:uid="{00000000-0005-0000-0000-000007020000}"/>
    <cellStyle name="20% - Accent4 2 2 6 3 2" xfId="14678" xr:uid="{ED8C25E1-8D69-4E1D-B22C-550C3843858C}"/>
    <cellStyle name="20% - Accent4 2 2 6 4" xfId="10465" xr:uid="{D3DE92D6-F503-4D13-9CC7-66D087D5A7AA}"/>
    <cellStyle name="20% - Accent4 2 2 7" xfId="2290" xr:uid="{00000000-0005-0000-0000-000008020000}"/>
    <cellStyle name="20% - Accent4 2 2 7 2" xfId="6596" xr:uid="{00000000-0005-0000-0000-000009020000}"/>
    <cellStyle name="20% - Accent4 2 2 7 2 2" xfId="15091" xr:uid="{B6F0FA23-869C-45FB-8539-0E4DF59801FE}"/>
    <cellStyle name="20% - Accent4 2 2 7 3" xfId="10878" xr:uid="{4F0FF08C-DCA9-4677-8B77-85907486BB74}"/>
    <cellStyle name="20% - Accent4 2 2 8" xfId="4530" xr:uid="{00000000-0005-0000-0000-00000A020000}"/>
    <cellStyle name="20% - Accent4 2 2 8 2" xfId="13026" xr:uid="{EED8E3E0-D22C-479F-83D9-C5F187E22B27}"/>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86" xr:uid="{E9602B5A-53BF-4754-A1AD-BAAA8DC23224}"/>
    <cellStyle name="20% - Accent4 2 3 2 2 3" xfId="11373" xr:uid="{BEB326FD-5FB2-4E67-A5C3-217BBFE54F58}"/>
    <cellStyle name="20% - Accent4 2 3 2 3" xfId="4946" xr:uid="{00000000-0005-0000-0000-00000F020000}"/>
    <cellStyle name="20% - Accent4 2 3 2 3 2" xfId="13441" xr:uid="{2E671E1B-B9E2-42A6-AA85-3E7D307B2852}"/>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99" xr:uid="{C2AFD5D2-714C-4529-B702-2CD15E6030D5}"/>
    <cellStyle name="20% - Accent4 2 3 3 2 3" xfId="11786" xr:uid="{BF47AF89-C4BB-4E92-B9B4-A6C8A3D1567E}"/>
    <cellStyle name="20% - Accent4 2 3 3 3" xfId="5359" xr:uid="{00000000-0005-0000-0000-000013020000}"/>
    <cellStyle name="20% - Accent4 2 3 3 3 2" xfId="13854" xr:uid="{2E698EC1-4206-45CF-A148-820EE0DBBD50}"/>
    <cellStyle name="20% - Accent4 2 3 3 4" xfId="9641" xr:uid="{B5ECDF3B-F280-497B-97A4-E4585FCF77F9}"/>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412" xr:uid="{0DC53579-5483-412D-8FDB-E6BF924E6214}"/>
    <cellStyle name="20% - Accent4 2 3 4 2 3" xfId="12199" xr:uid="{140A37DD-F0ED-49D5-BCA9-E2690DF89670}"/>
    <cellStyle name="20% - Accent4 2 3 4 3" xfId="5772" xr:uid="{00000000-0005-0000-0000-000017020000}"/>
    <cellStyle name="20% - Accent4 2 3 4 3 2" xfId="14267" xr:uid="{DC384B55-F040-498B-A2C3-5C31D2097638}"/>
    <cellStyle name="20% - Accent4 2 3 4 4" xfId="10054" xr:uid="{70034AF2-1FC8-4006-832C-25AE58776EF5}"/>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825" xr:uid="{E34E2E9F-71F5-49F9-A123-BF6C4E4A58DD}"/>
    <cellStyle name="20% - Accent4 2 3 5 2 3" xfId="12612" xr:uid="{AC4F855E-FE91-4DFB-9205-7BB1CC2F5F65}"/>
    <cellStyle name="20% - Accent4 2 3 5 3" xfId="6185" xr:uid="{00000000-0005-0000-0000-00001B020000}"/>
    <cellStyle name="20% - Accent4 2 3 5 3 2" xfId="14680" xr:uid="{5DAF939F-F0CC-4224-8FEC-A09BE507AA1F}"/>
    <cellStyle name="20% - Accent4 2 3 5 4" xfId="10467" xr:uid="{FEC1D02C-4223-43AF-98D2-4A8E8EF2FDE7}"/>
    <cellStyle name="20% - Accent4 2 3 6" xfId="2292" xr:uid="{00000000-0005-0000-0000-00001C020000}"/>
    <cellStyle name="20% - Accent4 2 3 6 2" xfId="6598" xr:uid="{00000000-0005-0000-0000-00001D020000}"/>
    <cellStyle name="20% - Accent4 2 3 6 2 2" xfId="15093" xr:uid="{88010047-04B1-494E-ADED-2B5C8C701DAB}"/>
    <cellStyle name="20% - Accent4 2 3 6 3" xfId="10880" xr:uid="{44104A09-5827-4644-903B-FB00BB7A98BF}"/>
    <cellStyle name="20% - Accent4 2 3 7" xfId="4532" xr:uid="{00000000-0005-0000-0000-00001E020000}"/>
    <cellStyle name="20% - Accent4 2 3 7 2" xfId="13028" xr:uid="{0D2555E3-B612-4422-B7E6-37A66283A6FC}"/>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83" xr:uid="{1A31E4A3-BF44-4239-AC51-54BDC4513507}"/>
    <cellStyle name="20% - Accent4 2 4 2 3" xfId="11370" xr:uid="{950B510A-7CDE-4854-BB4D-B2CECD5BE24C}"/>
    <cellStyle name="20% - Accent4 2 4 3" xfId="4943" xr:uid="{00000000-0005-0000-0000-000022020000}"/>
    <cellStyle name="20% - Accent4 2 4 3 2" xfId="13438" xr:uid="{F44066E2-1482-45A4-8986-506435C634CE}"/>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96" xr:uid="{747D0B06-4365-441D-AFF7-5787B752B7DC}"/>
    <cellStyle name="20% - Accent4 2 5 2 3" xfId="11783" xr:uid="{F0E2F386-2581-4C15-9725-F71406C74E1B}"/>
    <cellStyle name="20% - Accent4 2 5 3" xfId="5356" xr:uid="{00000000-0005-0000-0000-000026020000}"/>
    <cellStyle name="20% - Accent4 2 5 3 2" xfId="13851" xr:uid="{4A3D59A6-CDE7-4490-A076-652E803B2CF5}"/>
    <cellStyle name="20% - Accent4 2 5 4" xfId="9638" xr:uid="{3EB0D5D8-18FB-405D-8F57-0335F5278A22}"/>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409" xr:uid="{5B0EA875-4A42-4FD5-9824-82108DA9A427}"/>
    <cellStyle name="20% - Accent4 2 6 2 3" xfId="12196" xr:uid="{BEFC21D8-4A4C-4961-850A-6EF9AE23B59A}"/>
    <cellStyle name="20% - Accent4 2 6 3" xfId="5769" xr:uid="{00000000-0005-0000-0000-00002A020000}"/>
    <cellStyle name="20% - Accent4 2 6 3 2" xfId="14264" xr:uid="{D62572CE-0D09-42D5-9C5B-2D0E605FDEEF}"/>
    <cellStyle name="20% - Accent4 2 6 4" xfId="10051" xr:uid="{41C7159E-C1AE-4A92-B6EF-F66B5F26C159}"/>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822" xr:uid="{E2F8DB4E-9EDA-4353-AC5D-9F2DE24F30A0}"/>
    <cellStyle name="20% - Accent4 2 7 2 3" xfId="12609" xr:uid="{D7FEB1EC-9898-40BD-ABE6-21032E5B5405}"/>
    <cellStyle name="20% - Accent4 2 7 3" xfId="6182" xr:uid="{00000000-0005-0000-0000-00002E020000}"/>
    <cellStyle name="20% - Accent4 2 7 3 2" xfId="14677" xr:uid="{BF02C89D-6A21-40D3-A532-8BDF08256448}"/>
    <cellStyle name="20% - Accent4 2 7 4" xfId="10464" xr:uid="{BA17765C-D756-42BF-8718-5C4093D2CC85}"/>
    <cellStyle name="20% - Accent4 2 8" xfId="2289" xr:uid="{00000000-0005-0000-0000-00002F020000}"/>
    <cellStyle name="20% - Accent4 2 8 2" xfId="6595" xr:uid="{00000000-0005-0000-0000-000030020000}"/>
    <cellStyle name="20% - Accent4 2 8 2 2" xfId="15090" xr:uid="{CE4FDF8F-3735-40CB-9A7B-B46370C65416}"/>
    <cellStyle name="20% - Accent4 2 8 3" xfId="10877" xr:uid="{DCFA9267-329B-4976-855E-82DE1C38A727}"/>
    <cellStyle name="20% - Accent4 2 9" xfId="4529" xr:uid="{00000000-0005-0000-0000-000031020000}"/>
    <cellStyle name="20% - Accent4 2 9 2" xfId="13025" xr:uid="{FCF45F9C-43DC-4063-93C1-F2603D60E2E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88" xr:uid="{A40C50F8-351A-4D44-99B7-E8AE418908AD}"/>
    <cellStyle name="20% - Accent4 3 2 2 2 3" xfId="11375" xr:uid="{503B2CB7-431B-4F18-A46E-E427F0A4C733}"/>
    <cellStyle name="20% - Accent4 3 2 2 3" xfId="4948" xr:uid="{00000000-0005-0000-0000-000037020000}"/>
    <cellStyle name="20% - Accent4 3 2 2 3 2" xfId="13443" xr:uid="{CEF8E196-A653-40E6-B77B-8A3FA6B41A65}"/>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001" xr:uid="{39FD5304-A276-4221-A076-DADA1B72F362}"/>
    <cellStyle name="20% - Accent4 3 2 3 2 3" xfId="11788" xr:uid="{B344C54E-ED5D-490B-8BCF-70DA5615C2C2}"/>
    <cellStyle name="20% - Accent4 3 2 3 3" xfId="5361" xr:uid="{00000000-0005-0000-0000-00003B020000}"/>
    <cellStyle name="20% - Accent4 3 2 3 3 2" xfId="13856" xr:uid="{71CD024A-1162-4F84-AD94-4ABC6C3757EC}"/>
    <cellStyle name="20% - Accent4 3 2 3 4" xfId="9643" xr:uid="{F3661191-89D0-42EB-9C70-48F4D64D4454}"/>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414" xr:uid="{C3A65CA3-E989-4285-854D-2BC298BD3FE3}"/>
    <cellStyle name="20% - Accent4 3 2 4 2 3" xfId="12201" xr:uid="{CDAB14CC-06E2-4DBD-9445-A687A1FF6109}"/>
    <cellStyle name="20% - Accent4 3 2 4 3" xfId="5774" xr:uid="{00000000-0005-0000-0000-00003F020000}"/>
    <cellStyle name="20% - Accent4 3 2 4 3 2" xfId="14269" xr:uid="{06FB91DF-0357-4382-A1D1-1523F0A874CF}"/>
    <cellStyle name="20% - Accent4 3 2 4 4" xfId="10056" xr:uid="{4E6D7BD1-3B03-491F-885D-F815AC9DFB70}"/>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827" xr:uid="{0BC07850-931C-4CBF-9AD7-97A020F3E72D}"/>
    <cellStyle name="20% - Accent4 3 2 5 2 3" xfId="12614" xr:uid="{37AB3208-9D84-4BF1-971C-85487FF3985D}"/>
    <cellStyle name="20% - Accent4 3 2 5 3" xfId="6187" xr:uid="{00000000-0005-0000-0000-000043020000}"/>
    <cellStyle name="20% - Accent4 3 2 5 3 2" xfId="14682" xr:uid="{FEC2B757-7756-41C9-9981-3763C72526CC}"/>
    <cellStyle name="20% - Accent4 3 2 5 4" xfId="10469" xr:uid="{F6951135-E4FC-4785-AF34-272E33DE30CA}"/>
    <cellStyle name="20% - Accent4 3 2 6" xfId="2294" xr:uid="{00000000-0005-0000-0000-000044020000}"/>
    <cellStyle name="20% - Accent4 3 2 6 2" xfId="6600" xr:uid="{00000000-0005-0000-0000-000045020000}"/>
    <cellStyle name="20% - Accent4 3 2 6 2 2" xfId="15095" xr:uid="{831F4143-5AC7-4B72-9645-623FF728686C}"/>
    <cellStyle name="20% - Accent4 3 2 6 3" xfId="10882" xr:uid="{97FE1021-F382-4712-A618-CA385ED68725}"/>
    <cellStyle name="20% - Accent4 3 2 7" xfId="4534" xr:uid="{00000000-0005-0000-0000-000046020000}"/>
    <cellStyle name="20% - Accent4 3 2 7 2" xfId="13030" xr:uid="{1D0D49CA-5641-4D83-8E89-4D32BBA2DF5B}"/>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87" xr:uid="{60FB50C3-AD00-4EDD-9CA3-DCA37FE569A1}"/>
    <cellStyle name="20% - Accent4 3 3 2 3" xfId="11374" xr:uid="{A2E2834F-69BC-42A7-B2A8-646F80DE0169}"/>
    <cellStyle name="20% - Accent4 3 3 3" xfId="4947" xr:uid="{00000000-0005-0000-0000-00004A020000}"/>
    <cellStyle name="20% - Accent4 3 3 3 2" xfId="13442" xr:uid="{22F9B8FD-3FB2-4053-AF3E-77E6550AB92C}"/>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000" xr:uid="{243CA876-F06B-4FE2-BFA3-296D00E519F2}"/>
    <cellStyle name="20% - Accent4 3 4 2 3" xfId="11787" xr:uid="{14692646-09AF-4C0C-BB0A-EC51D8E3E66F}"/>
    <cellStyle name="20% - Accent4 3 4 3" xfId="5360" xr:uid="{00000000-0005-0000-0000-00004E020000}"/>
    <cellStyle name="20% - Accent4 3 4 3 2" xfId="13855" xr:uid="{577F3FBE-1E36-497B-858D-6473F9CE14AF}"/>
    <cellStyle name="20% - Accent4 3 4 4" xfId="9642" xr:uid="{33980498-EAE8-4A7A-8552-694F7126B1A0}"/>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413" xr:uid="{2447CE2B-8FE3-4C67-B0EC-0A9E3ABE197B}"/>
    <cellStyle name="20% - Accent4 3 5 2 3" xfId="12200" xr:uid="{8DBFBB55-B9D2-4A67-A182-D18D01D52CDD}"/>
    <cellStyle name="20% - Accent4 3 5 3" xfId="5773" xr:uid="{00000000-0005-0000-0000-000052020000}"/>
    <cellStyle name="20% - Accent4 3 5 3 2" xfId="14268" xr:uid="{D263A093-2759-4B88-8E89-77B7739C2490}"/>
    <cellStyle name="20% - Accent4 3 5 4" xfId="10055" xr:uid="{7078C2B6-BDC0-4C93-934E-DBD47A39FA22}"/>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826" xr:uid="{F3BCCC87-601F-41D1-9CD7-2EFB0CB98D8F}"/>
    <cellStyle name="20% - Accent4 3 6 2 3" xfId="12613" xr:uid="{14D5ADCF-3D63-4D3E-991D-F71E3537091A}"/>
    <cellStyle name="20% - Accent4 3 6 3" xfId="6186" xr:uid="{00000000-0005-0000-0000-000056020000}"/>
    <cellStyle name="20% - Accent4 3 6 3 2" xfId="14681" xr:uid="{2D962D6F-0C97-494B-9DBC-A06639F366A8}"/>
    <cellStyle name="20% - Accent4 3 6 4" xfId="10468" xr:uid="{87F792B2-C022-4850-A2C8-65BD2F6FFB95}"/>
    <cellStyle name="20% - Accent4 3 7" xfId="2293" xr:uid="{00000000-0005-0000-0000-000057020000}"/>
    <cellStyle name="20% - Accent4 3 7 2" xfId="6599" xr:uid="{00000000-0005-0000-0000-000058020000}"/>
    <cellStyle name="20% - Accent4 3 7 2 2" xfId="15094" xr:uid="{4B338098-456C-4F68-A133-160584AD6F2A}"/>
    <cellStyle name="20% - Accent4 3 7 3" xfId="10881" xr:uid="{3D7382D6-A279-4ACD-9819-7931FAD54991}"/>
    <cellStyle name="20% - Accent4 3 8" xfId="4533" xr:uid="{00000000-0005-0000-0000-000059020000}"/>
    <cellStyle name="20% - Accent4 3 8 2" xfId="13029" xr:uid="{08C56F3E-C5B4-434A-8D2F-F2A51F6AC5D9}"/>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89" xr:uid="{BDB49A47-C569-43BF-A599-23BBF5AFE136}"/>
    <cellStyle name="20% - Accent4 4 2 2 3" xfId="11376" xr:uid="{9F28D065-4F16-4541-9F4D-6EA8994119D6}"/>
    <cellStyle name="20% - Accent4 4 2 3" xfId="4949" xr:uid="{00000000-0005-0000-0000-00005E020000}"/>
    <cellStyle name="20% - Accent4 4 2 3 2" xfId="13444" xr:uid="{5A1EDDB6-0AE9-4F06-99D8-C054BE31965D}"/>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002" xr:uid="{412CCAC1-512B-4159-9E8F-096E64F6D8B8}"/>
    <cellStyle name="20% - Accent4 4 3 2 3" xfId="11789" xr:uid="{92E742F6-37F2-4554-954E-EDCEB982C618}"/>
    <cellStyle name="20% - Accent4 4 3 3" xfId="5362" xr:uid="{00000000-0005-0000-0000-000062020000}"/>
    <cellStyle name="20% - Accent4 4 3 3 2" xfId="13857" xr:uid="{045E2506-9A26-4F7D-BDB0-1DEF9E0631FA}"/>
    <cellStyle name="20% - Accent4 4 3 4" xfId="9644" xr:uid="{C3BACFF5-4544-4074-95B2-9869828EA868}"/>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415" xr:uid="{93CDA233-5347-4189-9B3F-B841FF0A423E}"/>
    <cellStyle name="20% - Accent4 4 4 2 3" xfId="12202" xr:uid="{8762A67E-1480-4FF7-B7F7-0F921E12951B}"/>
    <cellStyle name="20% - Accent4 4 4 3" xfId="5775" xr:uid="{00000000-0005-0000-0000-000066020000}"/>
    <cellStyle name="20% - Accent4 4 4 3 2" xfId="14270" xr:uid="{761B0921-C72E-4881-9303-DA0C3DD0AF13}"/>
    <cellStyle name="20% - Accent4 4 4 4" xfId="10057" xr:uid="{3CBCE85D-4170-45B6-8EDF-CB71FE59E91A}"/>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828" xr:uid="{EDF81842-A80D-41CC-9F29-C37B6C7F0E3B}"/>
    <cellStyle name="20% - Accent4 4 5 2 3" xfId="12615" xr:uid="{F27A080D-A131-480F-8E96-F0DC4B43F0C7}"/>
    <cellStyle name="20% - Accent4 4 5 3" xfId="6188" xr:uid="{00000000-0005-0000-0000-00006A020000}"/>
    <cellStyle name="20% - Accent4 4 5 3 2" xfId="14683" xr:uid="{709547D5-14E1-43B7-BDF0-6AE53DD8BAF7}"/>
    <cellStyle name="20% - Accent4 4 5 4" xfId="10470" xr:uid="{7053C899-4F24-45C6-B6C3-68EA9BC2E419}"/>
    <cellStyle name="20% - Accent4 4 6" xfId="2295" xr:uid="{00000000-0005-0000-0000-00006B020000}"/>
    <cellStyle name="20% - Accent4 4 6 2" xfId="6601" xr:uid="{00000000-0005-0000-0000-00006C020000}"/>
    <cellStyle name="20% - Accent4 4 6 2 2" xfId="15096" xr:uid="{73990C00-A856-4527-B48D-F2BF61E884FE}"/>
    <cellStyle name="20% - Accent4 4 6 3" xfId="10883" xr:uid="{582E3943-D4E5-44E0-A12D-03C3D3F96B5C}"/>
    <cellStyle name="20% - Accent4 4 7" xfId="4535" xr:uid="{00000000-0005-0000-0000-00006D020000}"/>
    <cellStyle name="20% - Accent4 4 7 2" xfId="13031" xr:uid="{299B73F0-7A8B-4E1C-BD86-0224637608CE}"/>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2 2 2" xfId="15582" xr:uid="{3D833585-8FD3-424C-8740-2CD8CA90EFC4}"/>
    <cellStyle name="20% - Accent4 5 2 3" xfId="11369" xr:uid="{DC1465EC-922C-437F-B267-1A563F5E78E2}"/>
    <cellStyle name="20% - Accent4 5 3" xfId="4942" xr:uid="{00000000-0005-0000-0000-000071020000}"/>
    <cellStyle name="20% - Accent4 5 3 2" xfId="13437" xr:uid="{0E7E6D05-C2AD-4005-8317-AEA348C7CDB6}"/>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2 2 2" xfId="15995" xr:uid="{4E3AFA90-5D3A-4D20-A7F8-695116F826F2}"/>
    <cellStyle name="20% - Accent4 6 2 3" xfId="11782" xr:uid="{ACF01DDD-3B20-49C1-84EC-01B43392B3AE}"/>
    <cellStyle name="20% - Accent4 6 3" xfId="5355" xr:uid="{00000000-0005-0000-0000-000075020000}"/>
    <cellStyle name="20% - Accent4 6 3 2" xfId="13850" xr:uid="{458DD7DB-CD5E-49AC-AEA3-66C33C62E545}"/>
    <cellStyle name="20% - Accent4 6 4" xfId="9637" xr:uid="{5D1B0CC6-8386-4C38-8AA5-20DF4C4F2847}"/>
    <cellStyle name="20% - Accent4 7" xfId="1461" xr:uid="{00000000-0005-0000-0000-000076020000}"/>
    <cellStyle name="20% - Accent4 7 2" xfId="3691" xr:uid="{00000000-0005-0000-0000-000077020000}"/>
    <cellStyle name="20% - Accent4 7 2 2" xfId="7913" xr:uid="{00000000-0005-0000-0000-000078020000}"/>
    <cellStyle name="20% - Accent4 7 2 2 2" xfId="16408" xr:uid="{4BAA7500-A8E5-4D5E-B6E4-2D114A9C8632}"/>
    <cellStyle name="20% - Accent4 7 2 3" xfId="12195" xr:uid="{0412543F-774C-4BEF-AA5B-E6822CFDB357}"/>
    <cellStyle name="20% - Accent4 7 3" xfId="5768" xr:uid="{00000000-0005-0000-0000-000079020000}"/>
    <cellStyle name="20% - Accent4 7 3 2" xfId="14263" xr:uid="{6562CD79-B027-4434-B312-367CB3173874}"/>
    <cellStyle name="20% - Accent4 7 4" xfId="10050" xr:uid="{ABBFAE26-4F80-4035-B9EE-DBBFE8BF0CDC}"/>
    <cellStyle name="20% - Accent4 8" xfId="1875" xr:uid="{00000000-0005-0000-0000-00007A020000}"/>
    <cellStyle name="20% - Accent4 8 2" xfId="4104" xr:uid="{00000000-0005-0000-0000-00007B020000}"/>
    <cellStyle name="20% - Accent4 8 2 2" xfId="8326" xr:uid="{00000000-0005-0000-0000-00007C020000}"/>
    <cellStyle name="20% - Accent4 8 2 2 2" xfId="16821" xr:uid="{3D1C6BFD-D177-4DC2-86EE-665F1C7DDAE3}"/>
    <cellStyle name="20% - Accent4 8 2 3" xfId="12608" xr:uid="{318F3733-35F8-4F9C-8A7C-00469707EF37}"/>
    <cellStyle name="20% - Accent4 8 3" xfId="6181" xr:uid="{00000000-0005-0000-0000-00007D020000}"/>
    <cellStyle name="20% - Accent4 8 3 2" xfId="14676" xr:uid="{6DACC715-4927-4D18-B1E9-9FD4F4E18F15}"/>
    <cellStyle name="20% - Accent4 8 4" xfId="10463" xr:uid="{15BA2DE5-7A28-4885-BB36-DE24B3BD75DE}"/>
    <cellStyle name="20% - Accent4 9" xfId="2288" xr:uid="{00000000-0005-0000-0000-00007E020000}"/>
    <cellStyle name="20% - Accent4 9 2" xfId="6594" xr:uid="{00000000-0005-0000-0000-00007F020000}"/>
    <cellStyle name="20% - Accent4 9 2 2" xfId="15089" xr:uid="{3C02CE19-E960-4EEE-A8DE-F0A33BED2B28}"/>
    <cellStyle name="20% - Accent4 9 3" xfId="10876" xr:uid="{F9F3A6A3-F3AB-4173-8A45-B8B23BB0B7BD}"/>
    <cellStyle name="20% - Accent5" xfId="33" builtinId="46" customBuiltin="1"/>
    <cellStyle name="20% - Accent5 10" xfId="4536" xr:uid="{00000000-0005-0000-0000-000081020000}"/>
    <cellStyle name="20% - Accent5 10 2" xfId="13032" xr:uid="{4C563B72-2526-475B-96D8-F6322A1C0837}"/>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93" xr:uid="{BE89B5AE-2B4F-4FB0-822D-1D813ED62444}"/>
    <cellStyle name="20% - Accent5 2 2 2 2 2 3" xfId="11380" xr:uid="{AAE02655-ABAE-4DC5-88F4-912B9B285EE9}"/>
    <cellStyle name="20% - Accent5 2 2 2 2 3" xfId="4953" xr:uid="{00000000-0005-0000-0000-000088020000}"/>
    <cellStyle name="20% - Accent5 2 2 2 2 3 2" xfId="13448" xr:uid="{95B805CB-3874-4764-ABE6-2DD04E267678}"/>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006" xr:uid="{8A67AEF3-1DE8-4072-933D-58A3D4A0867E}"/>
    <cellStyle name="20% - Accent5 2 2 2 3 2 3" xfId="11793" xr:uid="{0B89243E-5B7F-4477-BF13-21B650A846A2}"/>
    <cellStyle name="20% - Accent5 2 2 2 3 3" xfId="5366" xr:uid="{00000000-0005-0000-0000-00008C020000}"/>
    <cellStyle name="20% - Accent5 2 2 2 3 3 2" xfId="13861" xr:uid="{7D7E6D4C-9F61-4333-9563-F5956A468DFD}"/>
    <cellStyle name="20% - Accent5 2 2 2 3 4" xfId="9648" xr:uid="{110A3812-AA30-4CDD-AA16-226A80C6847C}"/>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419" xr:uid="{FEBCC695-71D9-494C-9F36-FFF22D351469}"/>
    <cellStyle name="20% - Accent5 2 2 2 4 2 3" xfId="12206" xr:uid="{74E9E57C-A5C4-4050-B67A-6E283287443B}"/>
    <cellStyle name="20% - Accent5 2 2 2 4 3" xfId="5779" xr:uid="{00000000-0005-0000-0000-000090020000}"/>
    <cellStyle name="20% - Accent5 2 2 2 4 3 2" xfId="14274" xr:uid="{D6FE9D23-316F-408D-B774-1249552FD89F}"/>
    <cellStyle name="20% - Accent5 2 2 2 4 4" xfId="10061" xr:uid="{2B2ED14A-6E80-4E42-A05A-46DC0697786C}"/>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832" xr:uid="{0144DE57-FAB1-4724-A39C-A7D2E07B4571}"/>
    <cellStyle name="20% - Accent5 2 2 2 5 2 3" xfId="12619" xr:uid="{906EBB1F-9330-46FB-9909-02C81E6D4403}"/>
    <cellStyle name="20% - Accent5 2 2 2 5 3" xfId="6192" xr:uid="{00000000-0005-0000-0000-000094020000}"/>
    <cellStyle name="20% - Accent5 2 2 2 5 3 2" xfId="14687" xr:uid="{E83CDE6F-8549-4517-B3DF-4750FFC37D99}"/>
    <cellStyle name="20% - Accent5 2 2 2 5 4" xfId="10474" xr:uid="{2111281E-518D-44B6-8F15-8DD8B4060946}"/>
    <cellStyle name="20% - Accent5 2 2 2 6" xfId="2299" xr:uid="{00000000-0005-0000-0000-000095020000}"/>
    <cellStyle name="20% - Accent5 2 2 2 6 2" xfId="6605" xr:uid="{00000000-0005-0000-0000-000096020000}"/>
    <cellStyle name="20% - Accent5 2 2 2 6 2 2" xfId="15100" xr:uid="{8C90B850-1AAF-4CC1-AB3F-E9F37DF74050}"/>
    <cellStyle name="20% - Accent5 2 2 2 6 3" xfId="10887" xr:uid="{12C8DC90-93EC-4276-84DC-8064DB4A9EA2}"/>
    <cellStyle name="20% - Accent5 2 2 2 7" xfId="4539" xr:uid="{00000000-0005-0000-0000-000097020000}"/>
    <cellStyle name="20% - Accent5 2 2 2 7 2" xfId="13035" xr:uid="{A44FDDEB-04F9-47A7-AFA2-BF3944C3FE9B}"/>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92" xr:uid="{F8B24B09-A699-410C-85D7-F0731AD8FA18}"/>
    <cellStyle name="20% - Accent5 2 2 3 2 3" xfId="11379" xr:uid="{3428AAF7-CBF4-4263-98DA-1CBEE1F76C38}"/>
    <cellStyle name="20% - Accent5 2 2 3 3" xfId="4952" xr:uid="{00000000-0005-0000-0000-00009B020000}"/>
    <cellStyle name="20% - Accent5 2 2 3 3 2" xfId="13447" xr:uid="{6D6ED8D1-28D2-466C-A7D5-C65A506C1F8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005" xr:uid="{22B3A470-4D61-4A1F-92D8-36EFFD42EB90}"/>
    <cellStyle name="20% - Accent5 2 2 4 2 3" xfId="11792" xr:uid="{32C90F51-6198-4223-BA68-F99BFB43746A}"/>
    <cellStyle name="20% - Accent5 2 2 4 3" xfId="5365" xr:uid="{00000000-0005-0000-0000-00009F020000}"/>
    <cellStyle name="20% - Accent5 2 2 4 3 2" xfId="13860" xr:uid="{BE2918A1-9401-4869-8CA2-F2F0F8D8E97D}"/>
    <cellStyle name="20% - Accent5 2 2 4 4" xfId="9647" xr:uid="{6B4CE10A-33FD-4A96-A200-DD6EBAD74F12}"/>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418" xr:uid="{9AA64FE6-56EF-479C-B6F0-FAF5887C64B6}"/>
    <cellStyle name="20% - Accent5 2 2 5 2 3" xfId="12205" xr:uid="{F0F66133-5878-4D5A-8B66-AFE852B6977D}"/>
    <cellStyle name="20% - Accent5 2 2 5 3" xfId="5778" xr:uid="{00000000-0005-0000-0000-0000A3020000}"/>
    <cellStyle name="20% - Accent5 2 2 5 3 2" xfId="14273" xr:uid="{028A4D07-EC08-400C-AE48-55A0384B6BD0}"/>
    <cellStyle name="20% - Accent5 2 2 5 4" xfId="10060" xr:uid="{E3462E08-5DCC-4A83-AA55-A50F554DA1BA}"/>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831" xr:uid="{5E111FC1-1D6D-4A0A-B5AA-9EDEFF6EB806}"/>
    <cellStyle name="20% - Accent5 2 2 6 2 3" xfId="12618" xr:uid="{A7498998-CBD5-4FC9-8E3E-6F4909605435}"/>
    <cellStyle name="20% - Accent5 2 2 6 3" xfId="6191" xr:uid="{00000000-0005-0000-0000-0000A7020000}"/>
    <cellStyle name="20% - Accent5 2 2 6 3 2" xfId="14686" xr:uid="{4770A860-FE0F-4CFC-A849-49023450C3AD}"/>
    <cellStyle name="20% - Accent5 2 2 6 4" xfId="10473" xr:uid="{1C36A5FD-909D-4602-B582-96F8D29032C9}"/>
    <cellStyle name="20% - Accent5 2 2 7" xfId="2298" xr:uid="{00000000-0005-0000-0000-0000A8020000}"/>
    <cellStyle name="20% - Accent5 2 2 7 2" xfId="6604" xr:uid="{00000000-0005-0000-0000-0000A9020000}"/>
    <cellStyle name="20% - Accent5 2 2 7 2 2" xfId="15099" xr:uid="{496C6035-709F-4790-9F0B-DFBFF2A53C2A}"/>
    <cellStyle name="20% - Accent5 2 2 7 3" xfId="10886" xr:uid="{FEEB9C2F-4DC4-462D-9DD6-DFB292172995}"/>
    <cellStyle name="20% - Accent5 2 2 8" xfId="4538" xr:uid="{00000000-0005-0000-0000-0000AA020000}"/>
    <cellStyle name="20% - Accent5 2 2 8 2" xfId="13034" xr:uid="{B5BFAE4C-24E3-447A-8B0F-EC71736D6823}"/>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94" xr:uid="{85CE0E5A-3F96-4F10-BA84-7DF199E61028}"/>
    <cellStyle name="20% - Accent5 2 3 2 2 3" xfId="11381" xr:uid="{0A8D258A-7172-42E2-8AAC-C444D3C58E60}"/>
    <cellStyle name="20% - Accent5 2 3 2 3" xfId="4954" xr:uid="{00000000-0005-0000-0000-0000AF020000}"/>
    <cellStyle name="20% - Accent5 2 3 2 3 2" xfId="13449" xr:uid="{284CBE7C-612C-4618-ABF3-AEE9742220BC}"/>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007" xr:uid="{961403DB-26A9-4832-A15B-9DA2777356B0}"/>
    <cellStyle name="20% - Accent5 2 3 3 2 3" xfId="11794" xr:uid="{4B7162EC-CCE7-434D-A0BF-3E4A2ADD9BC5}"/>
    <cellStyle name="20% - Accent5 2 3 3 3" xfId="5367" xr:uid="{00000000-0005-0000-0000-0000B3020000}"/>
    <cellStyle name="20% - Accent5 2 3 3 3 2" xfId="13862" xr:uid="{52A9F059-3FE2-4E58-93F0-F7BF8BB762A7}"/>
    <cellStyle name="20% - Accent5 2 3 3 4" xfId="9649" xr:uid="{FA207E1D-5745-4F5E-8027-4A11EACAC75A}"/>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420" xr:uid="{18964D11-F9BE-4916-9AC0-A872D6C2817A}"/>
    <cellStyle name="20% - Accent5 2 3 4 2 3" xfId="12207" xr:uid="{E5B030C6-E5A4-4259-86AA-E14721ABBA80}"/>
    <cellStyle name="20% - Accent5 2 3 4 3" xfId="5780" xr:uid="{00000000-0005-0000-0000-0000B7020000}"/>
    <cellStyle name="20% - Accent5 2 3 4 3 2" xfId="14275" xr:uid="{81A513E1-389A-4286-9914-2B6099EB0D18}"/>
    <cellStyle name="20% - Accent5 2 3 4 4" xfId="10062" xr:uid="{A65E37B8-8180-475E-A649-AEB23305F3A8}"/>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833" xr:uid="{B467E825-EF4A-4C0E-94A6-D2E213046004}"/>
    <cellStyle name="20% - Accent5 2 3 5 2 3" xfId="12620" xr:uid="{84D59D22-BCBB-40B6-AB11-937291F8DBFC}"/>
    <cellStyle name="20% - Accent5 2 3 5 3" xfId="6193" xr:uid="{00000000-0005-0000-0000-0000BB020000}"/>
    <cellStyle name="20% - Accent5 2 3 5 3 2" xfId="14688" xr:uid="{3B4D0149-77F7-470A-8CC9-CEBF163F12B9}"/>
    <cellStyle name="20% - Accent5 2 3 5 4" xfId="10475" xr:uid="{9EA8516C-CEF4-429D-A207-07BFB75C21C8}"/>
    <cellStyle name="20% - Accent5 2 3 6" xfId="2300" xr:uid="{00000000-0005-0000-0000-0000BC020000}"/>
    <cellStyle name="20% - Accent5 2 3 6 2" xfId="6606" xr:uid="{00000000-0005-0000-0000-0000BD020000}"/>
    <cellStyle name="20% - Accent5 2 3 6 2 2" xfId="15101" xr:uid="{7E0FBDC9-E4D5-4DE5-AEC4-D480CBFFE152}"/>
    <cellStyle name="20% - Accent5 2 3 6 3" xfId="10888" xr:uid="{B2C9F7DD-75BD-4BEE-A273-0A60B7B9D85D}"/>
    <cellStyle name="20% - Accent5 2 3 7" xfId="4540" xr:uid="{00000000-0005-0000-0000-0000BE020000}"/>
    <cellStyle name="20% - Accent5 2 3 7 2" xfId="13036" xr:uid="{EF8D5C0C-7396-4EF1-968F-F2E65C7D7DC7}"/>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91" xr:uid="{85988EB9-2861-4E26-9E43-A2C56C99ACD1}"/>
    <cellStyle name="20% - Accent5 2 4 2 3" xfId="11378" xr:uid="{DE31B452-CBBA-4E9C-9B30-AA61A68150B4}"/>
    <cellStyle name="20% - Accent5 2 4 3" xfId="4951" xr:uid="{00000000-0005-0000-0000-0000C2020000}"/>
    <cellStyle name="20% - Accent5 2 4 3 2" xfId="13446" xr:uid="{252358DF-7620-467F-9123-9A3300F677F6}"/>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004" xr:uid="{09CB632A-6770-40F5-B88C-96AA225B54DE}"/>
    <cellStyle name="20% - Accent5 2 5 2 3" xfId="11791" xr:uid="{29B4862F-A0BA-4A27-A065-FD8A5756765B}"/>
    <cellStyle name="20% - Accent5 2 5 3" xfId="5364" xr:uid="{00000000-0005-0000-0000-0000C6020000}"/>
    <cellStyle name="20% - Accent5 2 5 3 2" xfId="13859" xr:uid="{FFCB7FBE-5524-42C2-9753-C4009B1063B1}"/>
    <cellStyle name="20% - Accent5 2 5 4" xfId="9646" xr:uid="{85CABB9C-AA75-4FDD-99C8-CC4093B10415}"/>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417" xr:uid="{573D6D59-AD64-4A52-AC73-75837F67D74C}"/>
    <cellStyle name="20% - Accent5 2 6 2 3" xfId="12204" xr:uid="{BF5748DB-63B8-437B-83C7-8081991D1909}"/>
    <cellStyle name="20% - Accent5 2 6 3" xfId="5777" xr:uid="{00000000-0005-0000-0000-0000CA020000}"/>
    <cellStyle name="20% - Accent5 2 6 3 2" xfId="14272" xr:uid="{673E0A9D-728B-41EE-B182-D6FE468BF9C9}"/>
    <cellStyle name="20% - Accent5 2 6 4" xfId="10059" xr:uid="{07B376A5-10BD-45B5-AD47-F295089C7FE7}"/>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830" xr:uid="{C0796855-AED5-46DB-81DD-2C237E9C3287}"/>
    <cellStyle name="20% - Accent5 2 7 2 3" xfId="12617" xr:uid="{9E3694AC-1FAB-4689-86E7-2801C0DD5D31}"/>
    <cellStyle name="20% - Accent5 2 7 3" xfId="6190" xr:uid="{00000000-0005-0000-0000-0000CE020000}"/>
    <cellStyle name="20% - Accent5 2 7 3 2" xfId="14685" xr:uid="{EC4442B9-DEE1-4B36-80BA-FB12A2A51393}"/>
    <cellStyle name="20% - Accent5 2 7 4" xfId="10472" xr:uid="{19CFAAAD-1E06-4BA9-B2C3-D85A808BB130}"/>
    <cellStyle name="20% - Accent5 2 8" xfId="2297" xr:uid="{00000000-0005-0000-0000-0000CF020000}"/>
    <cellStyle name="20% - Accent5 2 8 2" xfId="6603" xr:uid="{00000000-0005-0000-0000-0000D0020000}"/>
    <cellStyle name="20% - Accent5 2 8 2 2" xfId="15098" xr:uid="{B59D542E-1765-4940-8FF0-B4E9F8FDD5BD}"/>
    <cellStyle name="20% - Accent5 2 8 3" xfId="10885" xr:uid="{2707AE47-D672-4059-A69E-A926C6C3A8B7}"/>
    <cellStyle name="20% - Accent5 2 9" xfId="4537" xr:uid="{00000000-0005-0000-0000-0000D1020000}"/>
    <cellStyle name="20% - Accent5 2 9 2" xfId="13033" xr:uid="{218F28C1-A59D-4087-918C-B703206FDFF2}"/>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96" xr:uid="{86089773-5806-44F3-95BD-083ADDFFE800}"/>
    <cellStyle name="20% - Accent5 3 2 2 2 3" xfId="11383" xr:uid="{45531018-5280-4A2D-8E3E-23B1A6F56702}"/>
    <cellStyle name="20% - Accent5 3 2 2 3" xfId="4956" xr:uid="{00000000-0005-0000-0000-0000D7020000}"/>
    <cellStyle name="20% - Accent5 3 2 2 3 2" xfId="13451" xr:uid="{F084ACFF-0E85-4C15-89DA-B512FB978157}"/>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009" xr:uid="{756FC61F-C946-4B48-8952-D9EE1542DBCB}"/>
    <cellStyle name="20% - Accent5 3 2 3 2 3" xfId="11796" xr:uid="{C9C9A56F-234A-4287-A8F0-03AD11377F7C}"/>
    <cellStyle name="20% - Accent5 3 2 3 3" xfId="5369" xr:uid="{00000000-0005-0000-0000-0000DB020000}"/>
    <cellStyle name="20% - Accent5 3 2 3 3 2" xfId="13864" xr:uid="{4B1B5CB1-D393-4455-9BDA-DC84873E34BD}"/>
    <cellStyle name="20% - Accent5 3 2 3 4" xfId="9651" xr:uid="{F4856448-8214-486E-A64D-170104E3EAE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422" xr:uid="{01E8867B-C2C3-47FD-9BD6-4FB50FAB3676}"/>
    <cellStyle name="20% - Accent5 3 2 4 2 3" xfId="12209" xr:uid="{4B596BFC-D891-44F6-83EB-7288202F14DC}"/>
    <cellStyle name="20% - Accent5 3 2 4 3" xfId="5782" xr:uid="{00000000-0005-0000-0000-0000DF020000}"/>
    <cellStyle name="20% - Accent5 3 2 4 3 2" xfId="14277" xr:uid="{2437B67D-9060-4267-9C12-808DFED56254}"/>
    <cellStyle name="20% - Accent5 3 2 4 4" xfId="10064" xr:uid="{E1CF4B1E-54C2-42AE-B24D-5FBCB1C26FFD}"/>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835" xr:uid="{1DFB6894-5E16-467E-AC1C-D43CE4FA0DBD}"/>
    <cellStyle name="20% - Accent5 3 2 5 2 3" xfId="12622" xr:uid="{305A4AA9-E486-4666-B61B-1879425EF185}"/>
    <cellStyle name="20% - Accent5 3 2 5 3" xfId="6195" xr:uid="{00000000-0005-0000-0000-0000E3020000}"/>
    <cellStyle name="20% - Accent5 3 2 5 3 2" xfId="14690" xr:uid="{9C00ABEC-3F65-4BF3-ABA2-2966A79EACC5}"/>
    <cellStyle name="20% - Accent5 3 2 5 4" xfId="10477" xr:uid="{B82CAD2A-DF88-442E-A5FE-52E5E705E8C0}"/>
    <cellStyle name="20% - Accent5 3 2 6" xfId="2302" xr:uid="{00000000-0005-0000-0000-0000E4020000}"/>
    <cellStyle name="20% - Accent5 3 2 6 2" xfId="6608" xr:uid="{00000000-0005-0000-0000-0000E5020000}"/>
    <cellStyle name="20% - Accent5 3 2 6 2 2" xfId="15103" xr:uid="{413714BA-4F2E-480B-8362-94AE5D9B2403}"/>
    <cellStyle name="20% - Accent5 3 2 6 3" xfId="10890" xr:uid="{B655CF31-540A-42A9-8888-57693DA017E8}"/>
    <cellStyle name="20% - Accent5 3 2 7" xfId="4542" xr:uid="{00000000-0005-0000-0000-0000E6020000}"/>
    <cellStyle name="20% - Accent5 3 2 7 2" xfId="13038" xr:uid="{7DDD0389-DCC7-42A1-AF24-EF1CE6126FC5}"/>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95" xr:uid="{3E3CFE25-02C6-4927-8B2C-5F3778A4420E}"/>
    <cellStyle name="20% - Accent5 3 3 2 3" xfId="11382" xr:uid="{7D4531F7-89EF-4B0B-927B-14A924724191}"/>
    <cellStyle name="20% - Accent5 3 3 3" xfId="4955" xr:uid="{00000000-0005-0000-0000-0000EA020000}"/>
    <cellStyle name="20% - Accent5 3 3 3 2" xfId="13450" xr:uid="{4DCF399C-7444-480B-8993-48EEF6640F74}"/>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008" xr:uid="{5EEDF884-75F2-4B10-AD65-BAFBB9FB8924}"/>
    <cellStyle name="20% - Accent5 3 4 2 3" xfId="11795" xr:uid="{6B88DBC6-9C68-42DB-909D-7A00F33E3153}"/>
    <cellStyle name="20% - Accent5 3 4 3" xfId="5368" xr:uid="{00000000-0005-0000-0000-0000EE020000}"/>
    <cellStyle name="20% - Accent5 3 4 3 2" xfId="13863" xr:uid="{5F79CBBB-8290-4764-AD29-F6956A657230}"/>
    <cellStyle name="20% - Accent5 3 4 4" xfId="9650" xr:uid="{9327079F-4511-45EE-8539-6D3C578C185D}"/>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421" xr:uid="{8B3BEBA7-40F2-45EF-9370-4327E41D8744}"/>
    <cellStyle name="20% - Accent5 3 5 2 3" xfId="12208" xr:uid="{1FC36F05-126C-4AC2-8F0D-9B10EDF5D21D}"/>
    <cellStyle name="20% - Accent5 3 5 3" xfId="5781" xr:uid="{00000000-0005-0000-0000-0000F2020000}"/>
    <cellStyle name="20% - Accent5 3 5 3 2" xfId="14276" xr:uid="{921AD57E-7BE5-48DE-BC13-F072E885494F}"/>
    <cellStyle name="20% - Accent5 3 5 4" xfId="10063" xr:uid="{C2785297-D01F-489E-B909-12193B5E266B}"/>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834" xr:uid="{6811EFEB-178C-49A6-84C4-9637EE1B1A3C}"/>
    <cellStyle name="20% - Accent5 3 6 2 3" xfId="12621" xr:uid="{F69901F1-C1D3-4402-AFFB-B201B64B89A7}"/>
    <cellStyle name="20% - Accent5 3 6 3" xfId="6194" xr:uid="{00000000-0005-0000-0000-0000F6020000}"/>
    <cellStyle name="20% - Accent5 3 6 3 2" xfId="14689" xr:uid="{8DCB2157-28CB-4AE4-9CBD-13887A9AAB19}"/>
    <cellStyle name="20% - Accent5 3 6 4" xfId="10476" xr:uid="{630FD072-9027-49C0-AF4B-A030E8A44B79}"/>
    <cellStyle name="20% - Accent5 3 7" xfId="2301" xr:uid="{00000000-0005-0000-0000-0000F7020000}"/>
    <cellStyle name="20% - Accent5 3 7 2" xfId="6607" xr:uid="{00000000-0005-0000-0000-0000F8020000}"/>
    <cellStyle name="20% - Accent5 3 7 2 2" xfId="15102" xr:uid="{AC15D6D2-A1DD-4F7F-8EE5-65F80981CF1E}"/>
    <cellStyle name="20% - Accent5 3 7 3" xfId="10889" xr:uid="{CBE6E737-07F4-4A57-9302-324E8E389DD3}"/>
    <cellStyle name="20% - Accent5 3 8" xfId="4541" xr:uid="{00000000-0005-0000-0000-0000F9020000}"/>
    <cellStyle name="20% - Accent5 3 8 2" xfId="13037" xr:uid="{78528910-7D2E-410C-8EBB-17461EA1F7B3}"/>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97" xr:uid="{95FD78AE-87B8-4C32-B68D-0DF4D71D9093}"/>
    <cellStyle name="20% - Accent5 4 2 2 3" xfId="11384" xr:uid="{082BEB95-3616-448C-AACE-F86E309D3794}"/>
    <cellStyle name="20% - Accent5 4 2 3" xfId="4957" xr:uid="{00000000-0005-0000-0000-0000FE020000}"/>
    <cellStyle name="20% - Accent5 4 2 3 2" xfId="13452" xr:uid="{FF0A1D38-17B9-4252-9E8C-EE1E8B027A37}"/>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010" xr:uid="{BEC0A953-D68D-4039-9C86-4427EEB9211B}"/>
    <cellStyle name="20% - Accent5 4 3 2 3" xfId="11797" xr:uid="{FBE6F0DC-0BBF-4A25-8CF6-AA4228AF9DC6}"/>
    <cellStyle name="20% - Accent5 4 3 3" xfId="5370" xr:uid="{00000000-0005-0000-0000-000002030000}"/>
    <cellStyle name="20% - Accent5 4 3 3 2" xfId="13865" xr:uid="{964E6513-49C7-47C3-A291-183687261C36}"/>
    <cellStyle name="20% - Accent5 4 3 4" xfId="9652" xr:uid="{708A9F68-57D2-4300-A049-C5177CB327CE}"/>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423" xr:uid="{AEA819B4-69E8-4D1F-BF3F-82981D1F9818}"/>
    <cellStyle name="20% - Accent5 4 4 2 3" xfId="12210" xr:uid="{2E73FDE6-2459-4481-8657-EF7A19F561D2}"/>
    <cellStyle name="20% - Accent5 4 4 3" xfId="5783" xr:uid="{00000000-0005-0000-0000-000006030000}"/>
    <cellStyle name="20% - Accent5 4 4 3 2" xfId="14278" xr:uid="{849A6CF4-C445-43C9-A30E-42EFA16D813D}"/>
    <cellStyle name="20% - Accent5 4 4 4" xfId="10065" xr:uid="{7FE26075-7682-42BC-85C8-11E5DCEB444C}"/>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836" xr:uid="{67F7426D-AEB9-471E-84E0-C19AEF78089B}"/>
    <cellStyle name="20% - Accent5 4 5 2 3" xfId="12623" xr:uid="{B1F5CA8F-88BD-498B-9B62-DD7D30E5879A}"/>
    <cellStyle name="20% - Accent5 4 5 3" xfId="6196" xr:uid="{00000000-0005-0000-0000-00000A030000}"/>
    <cellStyle name="20% - Accent5 4 5 3 2" xfId="14691" xr:uid="{3C890D8C-D19C-49C7-BD0F-BD066C5B36FB}"/>
    <cellStyle name="20% - Accent5 4 5 4" xfId="10478" xr:uid="{08C16213-CAA3-45A8-B65D-876A95E48B75}"/>
    <cellStyle name="20% - Accent5 4 6" xfId="2303" xr:uid="{00000000-0005-0000-0000-00000B030000}"/>
    <cellStyle name="20% - Accent5 4 6 2" xfId="6609" xr:uid="{00000000-0005-0000-0000-00000C030000}"/>
    <cellStyle name="20% - Accent5 4 6 2 2" xfId="15104" xr:uid="{CC77A2D8-1AD5-4E8D-BDF6-745C047D0500}"/>
    <cellStyle name="20% - Accent5 4 6 3" xfId="10891" xr:uid="{54338AE5-3960-4EC6-BA66-AF4403040B7A}"/>
    <cellStyle name="20% - Accent5 4 7" xfId="4543" xr:uid="{00000000-0005-0000-0000-00000D030000}"/>
    <cellStyle name="20% - Accent5 4 7 2" xfId="13039" xr:uid="{2C063FDD-A099-4E76-914D-BF7C1BB4B6FF}"/>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2 2 2" xfId="15590" xr:uid="{E3132D7E-D5EF-4BB8-9393-306D368B5A1F}"/>
    <cellStyle name="20% - Accent5 5 2 3" xfId="11377" xr:uid="{ADC3E763-D670-44AC-9D86-0F8295EDF6A5}"/>
    <cellStyle name="20% - Accent5 5 3" xfId="4950" xr:uid="{00000000-0005-0000-0000-000011030000}"/>
    <cellStyle name="20% - Accent5 5 3 2" xfId="13445" xr:uid="{6A6D5FC9-0B84-4629-8614-60FAE30369A6}"/>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2 2 2" xfId="16003" xr:uid="{109488DA-23B8-4DCD-AB55-D5B99B37D2A8}"/>
    <cellStyle name="20% - Accent5 6 2 3" xfId="11790" xr:uid="{83E75BB2-9142-4AC7-9F8F-B1B205A5067A}"/>
    <cellStyle name="20% - Accent5 6 3" xfId="5363" xr:uid="{00000000-0005-0000-0000-000015030000}"/>
    <cellStyle name="20% - Accent5 6 3 2" xfId="13858" xr:uid="{0B3F3C84-CA36-4BBB-91E6-AA89A9353D6B}"/>
    <cellStyle name="20% - Accent5 6 4" xfId="9645" xr:uid="{62A39F3E-D3F8-412B-889F-B98E67826B91}"/>
    <cellStyle name="20% - Accent5 7" xfId="1469" xr:uid="{00000000-0005-0000-0000-000016030000}"/>
    <cellStyle name="20% - Accent5 7 2" xfId="3699" xr:uid="{00000000-0005-0000-0000-000017030000}"/>
    <cellStyle name="20% - Accent5 7 2 2" xfId="7921" xr:uid="{00000000-0005-0000-0000-000018030000}"/>
    <cellStyle name="20% - Accent5 7 2 2 2" xfId="16416" xr:uid="{98A14168-4BF4-44F4-9C42-316E6FA9890B}"/>
    <cellStyle name="20% - Accent5 7 2 3" xfId="12203" xr:uid="{95BF08F7-2B7C-46CC-8041-03BDC44EA3C4}"/>
    <cellStyle name="20% - Accent5 7 3" xfId="5776" xr:uid="{00000000-0005-0000-0000-000019030000}"/>
    <cellStyle name="20% - Accent5 7 3 2" xfId="14271" xr:uid="{3E53F092-4D3E-446C-819B-DA92AC8238B4}"/>
    <cellStyle name="20% - Accent5 7 4" xfId="10058" xr:uid="{3C0FD723-1475-4E3E-9976-167C310AC67D}"/>
    <cellStyle name="20% - Accent5 8" xfId="1883" xr:uid="{00000000-0005-0000-0000-00001A030000}"/>
    <cellStyle name="20% - Accent5 8 2" xfId="4112" xr:uid="{00000000-0005-0000-0000-00001B030000}"/>
    <cellStyle name="20% - Accent5 8 2 2" xfId="8334" xr:uid="{00000000-0005-0000-0000-00001C030000}"/>
    <cellStyle name="20% - Accent5 8 2 2 2" xfId="16829" xr:uid="{365F5541-2B47-4B7A-BA19-6455F69F4414}"/>
    <cellStyle name="20% - Accent5 8 2 3" xfId="12616" xr:uid="{B6176512-83AB-4CC9-934C-FC419467CEB5}"/>
    <cellStyle name="20% - Accent5 8 3" xfId="6189" xr:uid="{00000000-0005-0000-0000-00001D030000}"/>
    <cellStyle name="20% - Accent5 8 3 2" xfId="14684" xr:uid="{031DD783-98FA-4C68-9A8B-CE1D9D0FE7CE}"/>
    <cellStyle name="20% - Accent5 8 4" xfId="10471" xr:uid="{5544ED07-2F0E-4D52-9745-9E41F1FD6AC2}"/>
    <cellStyle name="20% - Accent5 9" xfId="2296" xr:uid="{00000000-0005-0000-0000-00001E030000}"/>
    <cellStyle name="20% - Accent5 9 2" xfId="6602" xr:uid="{00000000-0005-0000-0000-00001F030000}"/>
    <cellStyle name="20% - Accent5 9 2 2" xfId="15097" xr:uid="{8DFCD82C-77F0-4F04-AFF7-89AC465CB89C}"/>
    <cellStyle name="20% - Accent5 9 3" xfId="10884" xr:uid="{8F3B64AD-2D8B-424F-B1C1-48732E9D5B5B}"/>
    <cellStyle name="20% - Accent6" xfId="41" builtinId="50" customBuiltin="1"/>
    <cellStyle name="20% - Accent6 10" xfId="4544" xr:uid="{00000000-0005-0000-0000-000021030000}"/>
    <cellStyle name="20% - Accent6 10 2" xfId="13040" xr:uid="{B864F749-3EDE-4582-94AA-C207B186CDBA}"/>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601" xr:uid="{AF3BF4F0-187C-460B-8B50-458BCE735C1D}"/>
    <cellStyle name="20% - Accent6 2 2 2 2 2 3" xfId="11388" xr:uid="{421C8DB0-9B51-4C89-932C-48BD147F8B6A}"/>
    <cellStyle name="20% - Accent6 2 2 2 2 3" xfId="4961" xr:uid="{00000000-0005-0000-0000-000028030000}"/>
    <cellStyle name="20% - Accent6 2 2 2 2 3 2" xfId="13456" xr:uid="{997511F8-E731-4489-9E96-3D9B0197DE01}"/>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014" xr:uid="{3AA0ED8C-5BAE-4D75-BE1F-BA09228E8A4D}"/>
    <cellStyle name="20% - Accent6 2 2 2 3 2 3" xfId="11801" xr:uid="{ED5D990D-5484-4C9B-AF4A-65AE92FED836}"/>
    <cellStyle name="20% - Accent6 2 2 2 3 3" xfId="5374" xr:uid="{00000000-0005-0000-0000-00002C030000}"/>
    <cellStyle name="20% - Accent6 2 2 2 3 3 2" xfId="13869" xr:uid="{D1FBFAC4-BC68-4A0E-9ECB-74C32ABB6D8E}"/>
    <cellStyle name="20% - Accent6 2 2 2 3 4" xfId="9656" xr:uid="{67DD016A-15AD-4686-9F47-2E9214F632E1}"/>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427" xr:uid="{64B65FF9-7B42-4E81-9B5F-4AAC222E37F0}"/>
    <cellStyle name="20% - Accent6 2 2 2 4 2 3" xfId="12214" xr:uid="{61237578-26F8-4740-BD1D-D41185740751}"/>
    <cellStyle name="20% - Accent6 2 2 2 4 3" xfId="5787" xr:uid="{00000000-0005-0000-0000-000030030000}"/>
    <cellStyle name="20% - Accent6 2 2 2 4 3 2" xfId="14282" xr:uid="{CF1BB16F-A8D5-4F0C-B78E-9268F02BE597}"/>
    <cellStyle name="20% - Accent6 2 2 2 4 4" xfId="10069" xr:uid="{4FA30B27-E6A0-468E-B427-4FDAF7117542}"/>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840" xr:uid="{161C3EC1-2BE5-4F54-84F1-338C1A23266F}"/>
    <cellStyle name="20% - Accent6 2 2 2 5 2 3" xfId="12627" xr:uid="{56E860AA-75AD-4FAE-A509-37BE88BF1C3A}"/>
    <cellStyle name="20% - Accent6 2 2 2 5 3" xfId="6200" xr:uid="{00000000-0005-0000-0000-000034030000}"/>
    <cellStyle name="20% - Accent6 2 2 2 5 3 2" xfId="14695" xr:uid="{140C90FE-FCE7-4174-8784-D38F37DB5669}"/>
    <cellStyle name="20% - Accent6 2 2 2 5 4" xfId="10482" xr:uid="{27E035C9-F2F6-4944-9E17-977C9B5AE2C5}"/>
    <cellStyle name="20% - Accent6 2 2 2 6" xfId="2307" xr:uid="{00000000-0005-0000-0000-000035030000}"/>
    <cellStyle name="20% - Accent6 2 2 2 6 2" xfId="6613" xr:uid="{00000000-0005-0000-0000-000036030000}"/>
    <cellStyle name="20% - Accent6 2 2 2 6 2 2" xfId="15108" xr:uid="{06DAED53-F1B8-440A-898B-E75A8AF63124}"/>
    <cellStyle name="20% - Accent6 2 2 2 6 3" xfId="10895" xr:uid="{77150275-558B-441C-AF2E-26DFC62B23DB}"/>
    <cellStyle name="20% - Accent6 2 2 2 7" xfId="4547" xr:uid="{00000000-0005-0000-0000-000037030000}"/>
    <cellStyle name="20% - Accent6 2 2 2 7 2" xfId="13043" xr:uid="{64E345C7-0244-43B8-95DB-3319AAA8ACDB}"/>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600" xr:uid="{735D1AC4-016C-42F6-A92F-BC69EB831CBF}"/>
    <cellStyle name="20% - Accent6 2 2 3 2 3" xfId="11387" xr:uid="{E2E8CDD9-B7C9-41B7-8B39-8A6AE52F323C}"/>
    <cellStyle name="20% - Accent6 2 2 3 3" xfId="4960" xr:uid="{00000000-0005-0000-0000-00003B030000}"/>
    <cellStyle name="20% - Accent6 2 2 3 3 2" xfId="13455" xr:uid="{688D2BB8-13F9-482D-B972-7854FA386F4E}"/>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013" xr:uid="{8C8DD9C9-CC4E-4A3C-9A75-3D0DEBE01F30}"/>
    <cellStyle name="20% - Accent6 2 2 4 2 3" xfId="11800" xr:uid="{315150FB-3323-4EBF-B59F-95B2E3703FD1}"/>
    <cellStyle name="20% - Accent6 2 2 4 3" xfId="5373" xr:uid="{00000000-0005-0000-0000-00003F030000}"/>
    <cellStyle name="20% - Accent6 2 2 4 3 2" xfId="13868" xr:uid="{F5F9741F-2AAF-45E8-BD99-46B4B8115B80}"/>
    <cellStyle name="20% - Accent6 2 2 4 4" xfId="9655" xr:uid="{89BAED28-3C35-4713-BB3F-BC29C579F949}"/>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426" xr:uid="{BEB9B643-0028-4D17-8F5F-B2B600AC5D5C}"/>
    <cellStyle name="20% - Accent6 2 2 5 2 3" xfId="12213" xr:uid="{AF629344-9C8A-4568-A4DC-05E48EA36871}"/>
    <cellStyle name="20% - Accent6 2 2 5 3" xfId="5786" xr:uid="{00000000-0005-0000-0000-000043030000}"/>
    <cellStyle name="20% - Accent6 2 2 5 3 2" xfId="14281" xr:uid="{858205FF-3725-4F72-904F-E90C7BE1870A}"/>
    <cellStyle name="20% - Accent6 2 2 5 4" xfId="10068" xr:uid="{A24861B8-5F2E-4640-A199-259DE84FB360}"/>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839" xr:uid="{B6ECEBB7-4724-4AE7-81C1-91D8FFE0A667}"/>
    <cellStyle name="20% - Accent6 2 2 6 2 3" xfId="12626" xr:uid="{1D6345B0-DD0E-462C-B9C8-7F64E983131B}"/>
    <cellStyle name="20% - Accent6 2 2 6 3" xfId="6199" xr:uid="{00000000-0005-0000-0000-000047030000}"/>
    <cellStyle name="20% - Accent6 2 2 6 3 2" xfId="14694" xr:uid="{72FF1104-6027-459F-9C63-6958F5128E1D}"/>
    <cellStyle name="20% - Accent6 2 2 6 4" xfId="10481" xr:uid="{F52ECDEE-2C8B-47F1-ADD3-DD9942C8E7F1}"/>
    <cellStyle name="20% - Accent6 2 2 7" xfId="2306" xr:uid="{00000000-0005-0000-0000-000048030000}"/>
    <cellStyle name="20% - Accent6 2 2 7 2" xfId="6612" xr:uid="{00000000-0005-0000-0000-000049030000}"/>
    <cellStyle name="20% - Accent6 2 2 7 2 2" xfId="15107" xr:uid="{B1E5FC91-F3E2-471B-A74A-A540F1AC8FB2}"/>
    <cellStyle name="20% - Accent6 2 2 7 3" xfId="10894" xr:uid="{377BB8CD-2869-479D-AB95-74B501DAD40D}"/>
    <cellStyle name="20% - Accent6 2 2 8" xfId="4546" xr:uid="{00000000-0005-0000-0000-00004A030000}"/>
    <cellStyle name="20% - Accent6 2 2 8 2" xfId="13042" xr:uid="{9A959C4A-632A-4867-A87C-B757717F7759}"/>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602" xr:uid="{8B2048BE-0143-49C4-8916-7DA557650A4D}"/>
    <cellStyle name="20% - Accent6 2 3 2 2 3" xfId="11389" xr:uid="{759A88FB-3549-4B5B-8DC5-4D36FBA39D37}"/>
    <cellStyle name="20% - Accent6 2 3 2 3" xfId="4962" xr:uid="{00000000-0005-0000-0000-00004F030000}"/>
    <cellStyle name="20% - Accent6 2 3 2 3 2" xfId="13457" xr:uid="{7B6CAE4E-0E8B-4325-8535-01503FB3DF97}"/>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015" xr:uid="{6442CCB0-83C1-4E93-B7E4-208C26303E3A}"/>
    <cellStyle name="20% - Accent6 2 3 3 2 3" xfId="11802" xr:uid="{463A97E7-EE02-4B31-A0C9-A9FE513A319A}"/>
    <cellStyle name="20% - Accent6 2 3 3 3" xfId="5375" xr:uid="{00000000-0005-0000-0000-000053030000}"/>
    <cellStyle name="20% - Accent6 2 3 3 3 2" xfId="13870" xr:uid="{34820873-8CC5-4F1C-8233-8C368D18EA68}"/>
    <cellStyle name="20% - Accent6 2 3 3 4" xfId="9657" xr:uid="{62EBF8A1-A07B-4880-8FC6-01700A05AD11}"/>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428" xr:uid="{687B502B-307C-422E-A60B-2620652A0A20}"/>
    <cellStyle name="20% - Accent6 2 3 4 2 3" xfId="12215" xr:uid="{A40632B9-300C-442B-869B-F5D926AA9234}"/>
    <cellStyle name="20% - Accent6 2 3 4 3" xfId="5788" xr:uid="{00000000-0005-0000-0000-000057030000}"/>
    <cellStyle name="20% - Accent6 2 3 4 3 2" xfId="14283" xr:uid="{93F737FE-38E3-49CE-BB7C-BD0347ADB4B8}"/>
    <cellStyle name="20% - Accent6 2 3 4 4" xfId="10070" xr:uid="{BAD07C84-D7B1-4916-AFFF-2D1C08281415}"/>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841" xr:uid="{4FF0F900-DEFB-4FFE-BF1C-B18CE2919AC0}"/>
    <cellStyle name="20% - Accent6 2 3 5 2 3" xfId="12628" xr:uid="{3D171820-AA9F-4B41-B758-6549C7F1441E}"/>
    <cellStyle name="20% - Accent6 2 3 5 3" xfId="6201" xr:uid="{00000000-0005-0000-0000-00005B030000}"/>
    <cellStyle name="20% - Accent6 2 3 5 3 2" xfId="14696" xr:uid="{B50489E2-0FE1-4E13-ABC0-AFAD48E6752E}"/>
    <cellStyle name="20% - Accent6 2 3 5 4" xfId="10483" xr:uid="{B8832938-A74F-4DF1-86C8-3E6B30C32271}"/>
    <cellStyle name="20% - Accent6 2 3 6" xfId="2308" xr:uid="{00000000-0005-0000-0000-00005C030000}"/>
    <cellStyle name="20% - Accent6 2 3 6 2" xfId="6614" xr:uid="{00000000-0005-0000-0000-00005D030000}"/>
    <cellStyle name="20% - Accent6 2 3 6 2 2" xfId="15109" xr:uid="{50A6575C-83FD-447A-A2DE-9CB72E95DFAC}"/>
    <cellStyle name="20% - Accent6 2 3 6 3" xfId="10896" xr:uid="{EF5F9817-304F-4CCB-8901-4D5DA94BD2E6}"/>
    <cellStyle name="20% - Accent6 2 3 7" xfId="4548" xr:uid="{00000000-0005-0000-0000-00005E030000}"/>
    <cellStyle name="20% - Accent6 2 3 7 2" xfId="13044" xr:uid="{4A09E9F1-835E-4EC0-9A03-0E24B525510C}"/>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99" xr:uid="{C1E3D6BE-29DC-4247-A9AD-D7BF32997753}"/>
    <cellStyle name="20% - Accent6 2 4 2 3" xfId="11386" xr:uid="{DAC49292-1874-46E7-ABBB-148722089E95}"/>
    <cellStyle name="20% - Accent6 2 4 3" xfId="4959" xr:uid="{00000000-0005-0000-0000-000062030000}"/>
    <cellStyle name="20% - Accent6 2 4 3 2" xfId="13454" xr:uid="{03717AB3-909F-4C62-9376-A6021A99D8A6}"/>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012" xr:uid="{544579A5-A86F-4694-A64F-9EFCA74BBD38}"/>
    <cellStyle name="20% - Accent6 2 5 2 3" xfId="11799" xr:uid="{05D8E939-2CC0-46D7-A1CF-E259E34AB318}"/>
    <cellStyle name="20% - Accent6 2 5 3" xfId="5372" xr:uid="{00000000-0005-0000-0000-000066030000}"/>
    <cellStyle name="20% - Accent6 2 5 3 2" xfId="13867" xr:uid="{0BCECB3E-35CD-495B-965A-957041E7CD98}"/>
    <cellStyle name="20% - Accent6 2 5 4" xfId="9654" xr:uid="{155A1FE3-160B-4D4B-9B9E-E6C5237FBCE0}"/>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425" xr:uid="{72B0E75C-859B-4016-B19A-8B705B3145D0}"/>
    <cellStyle name="20% - Accent6 2 6 2 3" xfId="12212" xr:uid="{687B1663-959C-4363-A91A-D2333AC54BCC}"/>
    <cellStyle name="20% - Accent6 2 6 3" xfId="5785" xr:uid="{00000000-0005-0000-0000-00006A030000}"/>
    <cellStyle name="20% - Accent6 2 6 3 2" xfId="14280" xr:uid="{E7808752-9762-4EF7-8E63-456CEAAC028C}"/>
    <cellStyle name="20% - Accent6 2 6 4" xfId="10067" xr:uid="{10A07CD1-36FB-430B-8ACA-5FC6DA9CA285}"/>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838" xr:uid="{769D02FB-79EC-4E8A-89B4-BCE94F6D02AD}"/>
    <cellStyle name="20% - Accent6 2 7 2 3" xfId="12625" xr:uid="{83202637-7EA4-4FE7-980C-81280BFA4C1A}"/>
    <cellStyle name="20% - Accent6 2 7 3" xfId="6198" xr:uid="{00000000-0005-0000-0000-00006E030000}"/>
    <cellStyle name="20% - Accent6 2 7 3 2" xfId="14693" xr:uid="{692ABCEF-6FE8-40D8-AE84-D081682438FA}"/>
    <cellStyle name="20% - Accent6 2 7 4" xfId="10480" xr:uid="{4EB09FE8-06CE-45B6-9387-1FD7CD951253}"/>
    <cellStyle name="20% - Accent6 2 8" xfId="2305" xr:uid="{00000000-0005-0000-0000-00006F030000}"/>
    <cellStyle name="20% - Accent6 2 8 2" xfId="6611" xr:uid="{00000000-0005-0000-0000-000070030000}"/>
    <cellStyle name="20% - Accent6 2 8 2 2" xfId="15106" xr:uid="{F01C8D78-AAB3-48EF-8F78-00765433DE0D}"/>
    <cellStyle name="20% - Accent6 2 8 3" xfId="10893" xr:uid="{B310169F-EB2C-44C1-B8E1-E067F002C386}"/>
    <cellStyle name="20% - Accent6 2 9" xfId="4545" xr:uid="{00000000-0005-0000-0000-000071030000}"/>
    <cellStyle name="20% - Accent6 2 9 2" xfId="13041" xr:uid="{4B747FD7-0602-476F-8244-88ECFDE36F14}"/>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604" xr:uid="{F860DEC7-A1CA-43F5-AC0C-A0B41256E3DC}"/>
    <cellStyle name="20% - Accent6 3 2 2 2 3" xfId="11391" xr:uid="{9D793357-5C0B-4CD8-B330-48856F210A0B}"/>
    <cellStyle name="20% - Accent6 3 2 2 3" xfId="4964" xr:uid="{00000000-0005-0000-0000-000077030000}"/>
    <cellStyle name="20% - Accent6 3 2 2 3 2" xfId="13459" xr:uid="{E03CF66A-33B9-48BC-B419-6F7A36FC1476}"/>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017" xr:uid="{9AA1492A-9D6D-4E46-A707-841FCD7CDC14}"/>
    <cellStyle name="20% - Accent6 3 2 3 2 3" xfId="11804" xr:uid="{414A32B9-3A70-4183-AF9D-EDB5BEC07D0D}"/>
    <cellStyle name="20% - Accent6 3 2 3 3" xfId="5377" xr:uid="{00000000-0005-0000-0000-00007B030000}"/>
    <cellStyle name="20% - Accent6 3 2 3 3 2" xfId="13872" xr:uid="{71AEE3D7-60F3-4AA6-9AA9-F528259D1999}"/>
    <cellStyle name="20% - Accent6 3 2 3 4" xfId="9659" xr:uid="{87CBCAD2-06D1-49AF-9AFC-CE64EC77BC42}"/>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430" xr:uid="{F9B1229A-3009-490D-B3AA-454219EC0EDA}"/>
    <cellStyle name="20% - Accent6 3 2 4 2 3" xfId="12217" xr:uid="{A1AFE6E4-92FA-4048-A576-3AA5419C968D}"/>
    <cellStyle name="20% - Accent6 3 2 4 3" xfId="5790" xr:uid="{00000000-0005-0000-0000-00007F030000}"/>
    <cellStyle name="20% - Accent6 3 2 4 3 2" xfId="14285" xr:uid="{1B51C846-9DD9-43C6-B8C9-13A22D21129E}"/>
    <cellStyle name="20% - Accent6 3 2 4 4" xfId="10072" xr:uid="{EC71159B-676C-406E-B977-C786C260F66C}"/>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843" xr:uid="{F7095913-D560-4AF3-BB8F-CB79AF3F711E}"/>
    <cellStyle name="20% - Accent6 3 2 5 2 3" xfId="12630" xr:uid="{53FBFACB-C14A-4350-B2CA-7707028F4041}"/>
    <cellStyle name="20% - Accent6 3 2 5 3" xfId="6203" xr:uid="{00000000-0005-0000-0000-000083030000}"/>
    <cellStyle name="20% - Accent6 3 2 5 3 2" xfId="14698" xr:uid="{7EF291A9-A4B3-4909-82F7-AA818A354D71}"/>
    <cellStyle name="20% - Accent6 3 2 5 4" xfId="10485" xr:uid="{006DAC47-570B-40D2-96D3-CBBDD05EE919}"/>
    <cellStyle name="20% - Accent6 3 2 6" xfId="2310" xr:uid="{00000000-0005-0000-0000-000084030000}"/>
    <cellStyle name="20% - Accent6 3 2 6 2" xfId="6616" xr:uid="{00000000-0005-0000-0000-000085030000}"/>
    <cellStyle name="20% - Accent6 3 2 6 2 2" xfId="15111" xr:uid="{00821264-F801-4E6D-A571-B0E68DB9E0FA}"/>
    <cellStyle name="20% - Accent6 3 2 6 3" xfId="10898" xr:uid="{13B8E636-8507-4BAC-BF31-58CA07F5187C}"/>
    <cellStyle name="20% - Accent6 3 2 7" xfId="4550" xr:uid="{00000000-0005-0000-0000-000086030000}"/>
    <cellStyle name="20% - Accent6 3 2 7 2" xfId="13046" xr:uid="{E48FB303-51BD-4E31-8AB8-4750A7F53D64}"/>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2 2 2" xfId="15603" xr:uid="{788EFA6A-5B49-49A2-9ACF-7CBC7964FA6B}"/>
    <cellStyle name="20% - Accent6 3 3 2 3" xfId="11390" xr:uid="{F9AC09A2-8F1D-43E4-966B-B88355684252}"/>
    <cellStyle name="20% - Accent6 3 3 3" xfId="4963" xr:uid="{00000000-0005-0000-0000-00008A030000}"/>
    <cellStyle name="20% - Accent6 3 3 3 2" xfId="13458" xr:uid="{B2DDBF7A-DD06-4F1F-8D34-FCE22B0747FA}"/>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016" xr:uid="{B67C9633-CA88-4E1A-9C7F-9F4E88733481}"/>
    <cellStyle name="20% - Accent6 3 4 2 3" xfId="11803" xr:uid="{9CC9AD24-6ADC-4197-A53B-1E5084A8AA2C}"/>
    <cellStyle name="20% - Accent6 3 4 3" xfId="5376" xr:uid="{00000000-0005-0000-0000-00008E030000}"/>
    <cellStyle name="20% - Accent6 3 4 3 2" xfId="13871" xr:uid="{029C7336-53AF-4D85-8F98-2959431BFD15}"/>
    <cellStyle name="20% - Accent6 3 4 4" xfId="9658" xr:uid="{848B8155-0668-4F0E-95D1-5BF29DBC19DD}"/>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429" xr:uid="{185AFAA9-066E-499B-87E8-6FEF02CDA6ED}"/>
    <cellStyle name="20% - Accent6 3 5 2 3" xfId="12216" xr:uid="{BDBDFE37-36A6-44F3-974A-AB5F1B2059C2}"/>
    <cellStyle name="20% - Accent6 3 5 3" xfId="5789" xr:uid="{00000000-0005-0000-0000-000092030000}"/>
    <cellStyle name="20% - Accent6 3 5 3 2" xfId="14284" xr:uid="{C3557CFB-71A2-4B74-B7C8-D50314787650}"/>
    <cellStyle name="20% - Accent6 3 5 4" xfId="10071" xr:uid="{0EF64B9B-A22C-4155-90FF-30B64C6C49E2}"/>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842" xr:uid="{F521EC33-E61C-4DF6-BC8D-B5B70DB0C80B}"/>
    <cellStyle name="20% - Accent6 3 6 2 3" xfId="12629" xr:uid="{0C6A1528-01F5-4EF5-9464-2FE200E4E5AB}"/>
    <cellStyle name="20% - Accent6 3 6 3" xfId="6202" xr:uid="{00000000-0005-0000-0000-000096030000}"/>
    <cellStyle name="20% - Accent6 3 6 3 2" xfId="14697" xr:uid="{030D7812-1852-4FA6-A28D-7CB32AA5DCC9}"/>
    <cellStyle name="20% - Accent6 3 6 4" xfId="10484" xr:uid="{82612FBF-3045-4C35-BADD-CF8ED295F2FE}"/>
    <cellStyle name="20% - Accent6 3 7" xfId="2309" xr:uid="{00000000-0005-0000-0000-000097030000}"/>
    <cellStyle name="20% - Accent6 3 7 2" xfId="6615" xr:uid="{00000000-0005-0000-0000-000098030000}"/>
    <cellStyle name="20% - Accent6 3 7 2 2" xfId="15110" xr:uid="{0F37C912-E102-47A4-8074-3B9F098C4704}"/>
    <cellStyle name="20% - Accent6 3 7 3" xfId="10897" xr:uid="{5FDB97F9-1806-46E9-AF8F-E4EB648BFC0F}"/>
    <cellStyle name="20% - Accent6 3 8" xfId="4549" xr:uid="{00000000-0005-0000-0000-000099030000}"/>
    <cellStyle name="20% - Accent6 3 8 2" xfId="13045" xr:uid="{B043B073-F9D4-4351-940A-0C5F3D2FE2D9}"/>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605" xr:uid="{CFBD9E2E-A527-4DAD-B98C-CA2518E13978}"/>
    <cellStyle name="20% - Accent6 4 2 2 3" xfId="11392" xr:uid="{7242F841-4974-45F5-BE2D-95F9B8AC11B1}"/>
    <cellStyle name="20% - Accent6 4 2 3" xfId="4965" xr:uid="{00000000-0005-0000-0000-00009E030000}"/>
    <cellStyle name="20% - Accent6 4 2 3 2" xfId="13460" xr:uid="{BE86B308-4767-4E61-B8BB-D9E51DA4080E}"/>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018" xr:uid="{657E2B60-5A9F-45DD-8785-3E337329AE56}"/>
    <cellStyle name="20% - Accent6 4 3 2 3" xfId="11805" xr:uid="{E9CC3D72-3F87-49FC-87A5-CFB83D0EE076}"/>
    <cellStyle name="20% - Accent6 4 3 3" xfId="5378" xr:uid="{00000000-0005-0000-0000-0000A2030000}"/>
    <cellStyle name="20% - Accent6 4 3 3 2" xfId="13873" xr:uid="{A60A92A4-AF27-4388-BAA3-6DE3E24E8C78}"/>
    <cellStyle name="20% - Accent6 4 3 4" xfId="9660" xr:uid="{56AE6D3A-667A-4B0E-A7E4-A2456EACA49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431" xr:uid="{73BD5B89-91A5-42F9-B0CB-02720EB5CEDB}"/>
    <cellStyle name="20% - Accent6 4 4 2 3" xfId="12218" xr:uid="{51ECDDF3-70A1-4AC0-8CDC-1BEA2E732EF5}"/>
    <cellStyle name="20% - Accent6 4 4 3" xfId="5791" xr:uid="{00000000-0005-0000-0000-0000A6030000}"/>
    <cellStyle name="20% - Accent6 4 4 3 2" xfId="14286" xr:uid="{611F4AA7-67DF-44D0-8506-4AF92DDD4D2B}"/>
    <cellStyle name="20% - Accent6 4 4 4" xfId="10073" xr:uid="{CBE48704-0E2F-456B-B9CF-8CBEB2462FC8}"/>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844" xr:uid="{D6AD6610-9327-4AEC-A0E6-8BEAC26CE21B}"/>
    <cellStyle name="20% - Accent6 4 5 2 3" xfId="12631" xr:uid="{256D21B5-81C5-4584-A095-6B59FF3D9782}"/>
    <cellStyle name="20% - Accent6 4 5 3" xfId="6204" xr:uid="{00000000-0005-0000-0000-0000AA030000}"/>
    <cellStyle name="20% - Accent6 4 5 3 2" xfId="14699" xr:uid="{A2384BC8-131C-47DD-8EC2-F77074BDDFBD}"/>
    <cellStyle name="20% - Accent6 4 5 4" xfId="10486" xr:uid="{CCF46627-6F7E-4DAC-8060-216B76967984}"/>
    <cellStyle name="20% - Accent6 4 6" xfId="2311" xr:uid="{00000000-0005-0000-0000-0000AB030000}"/>
    <cellStyle name="20% - Accent6 4 6 2" xfId="6617" xr:uid="{00000000-0005-0000-0000-0000AC030000}"/>
    <cellStyle name="20% - Accent6 4 6 2 2" xfId="15112" xr:uid="{9705D058-1EF7-4076-A8C6-DCC0D4CEA3C8}"/>
    <cellStyle name="20% - Accent6 4 6 3" xfId="10899" xr:uid="{9A2D42D9-C189-4EF6-A042-12AD08B32C37}"/>
    <cellStyle name="20% - Accent6 4 7" xfId="4551" xr:uid="{00000000-0005-0000-0000-0000AD030000}"/>
    <cellStyle name="20% - Accent6 4 7 2" xfId="13047" xr:uid="{C9FDCFA5-0DAF-4FC7-8A15-0C41C2A11AE1}"/>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2 2 2" xfId="15598" xr:uid="{A4CCAEA4-7209-4ABA-9507-EE2750FB1E2A}"/>
    <cellStyle name="20% - Accent6 5 2 3" xfId="11385" xr:uid="{E313139B-1719-4305-8528-44E47E4EAD0B}"/>
    <cellStyle name="20% - Accent6 5 3" xfId="4958" xr:uid="{00000000-0005-0000-0000-0000B1030000}"/>
    <cellStyle name="20% - Accent6 5 3 2" xfId="13453" xr:uid="{452F13F8-C176-498D-9FB2-6F9631411BB6}"/>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2 2 2" xfId="16011" xr:uid="{0FB248D2-424F-4B14-BAC2-9B428C6C5080}"/>
    <cellStyle name="20% - Accent6 6 2 3" xfId="11798" xr:uid="{AC754E6F-4040-443A-8553-B4C1E67550BC}"/>
    <cellStyle name="20% - Accent6 6 3" xfId="5371" xr:uid="{00000000-0005-0000-0000-0000B5030000}"/>
    <cellStyle name="20% - Accent6 6 3 2" xfId="13866" xr:uid="{C0BE4993-C9EA-4660-9C07-A45624A4EA4A}"/>
    <cellStyle name="20% - Accent6 6 4" xfId="9653" xr:uid="{D9AA859D-B487-4A62-A745-1301FABCA0C5}"/>
    <cellStyle name="20% - Accent6 7" xfId="1477" xr:uid="{00000000-0005-0000-0000-0000B6030000}"/>
    <cellStyle name="20% - Accent6 7 2" xfId="3707" xr:uid="{00000000-0005-0000-0000-0000B7030000}"/>
    <cellStyle name="20% - Accent6 7 2 2" xfId="7929" xr:uid="{00000000-0005-0000-0000-0000B8030000}"/>
    <cellStyle name="20% - Accent6 7 2 2 2" xfId="16424" xr:uid="{4B689B5A-8613-47DD-9F4B-9218F2B33678}"/>
    <cellStyle name="20% - Accent6 7 2 3" xfId="12211" xr:uid="{6E7D0998-C0FE-4B95-AEF4-C53FF42EEF03}"/>
    <cellStyle name="20% - Accent6 7 3" xfId="5784" xr:uid="{00000000-0005-0000-0000-0000B9030000}"/>
    <cellStyle name="20% - Accent6 7 3 2" xfId="14279" xr:uid="{D58BBBEE-4A52-43FE-AA88-41695976128D}"/>
    <cellStyle name="20% - Accent6 7 4" xfId="10066" xr:uid="{E44F1D5D-90E1-4D16-8440-43E5CAD94D74}"/>
    <cellStyle name="20% - Accent6 8" xfId="1891" xr:uid="{00000000-0005-0000-0000-0000BA030000}"/>
    <cellStyle name="20% - Accent6 8 2" xfId="4120" xr:uid="{00000000-0005-0000-0000-0000BB030000}"/>
    <cellStyle name="20% - Accent6 8 2 2" xfId="8342" xr:uid="{00000000-0005-0000-0000-0000BC030000}"/>
    <cellStyle name="20% - Accent6 8 2 2 2" xfId="16837" xr:uid="{AAF45E2C-4B80-4D2C-A5AB-9D813056F5E7}"/>
    <cellStyle name="20% - Accent6 8 2 3" xfId="12624" xr:uid="{9011D5E6-F696-4D20-B5AF-A77F82206BD9}"/>
    <cellStyle name="20% - Accent6 8 3" xfId="6197" xr:uid="{00000000-0005-0000-0000-0000BD030000}"/>
    <cellStyle name="20% - Accent6 8 3 2" xfId="14692" xr:uid="{C495E896-A089-4CF6-B75C-B4EA91887944}"/>
    <cellStyle name="20% - Accent6 8 4" xfId="10479" xr:uid="{1DC8A60B-4C27-432C-9B9A-92B6B358E40F}"/>
    <cellStyle name="20% - Accent6 9" xfId="2304" xr:uid="{00000000-0005-0000-0000-0000BE030000}"/>
    <cellStyle name="20% - Accent6 9 2" xfId="6610" xr:uid="{00000000-0005-0000-0000-0000BF030000}"/>
    <cellStyle name="20% - Accent6 9 2 2" xfId="15105" xr:uid="{1B5F84D4-841F-4C0A-8D0E-03661584DE02}"/>
    <cellStyle name="20% - Accent6 9 3" xfId="10892" xr:uid="{88E34434-DC35-4395-A7AF-F29B9F138985}"/>
    <cellStyle name="40% - Accent1" xfId="49" builtinId="31" customBuiltin="1"/>
    <cellStyle name="40% - Accent1 10" xfId="4552" xr:uid="{00000000-0005-0000-0000-0000C1030000}"/>
    <cellStyle name="40% - Accent1 10 2" xfId="13048" xr:uid="{8C124A55-CAB8-469B-923D-EF41EA2DB4EC}"/>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609" xr:uid="{BB8E2051-EE5F-4C73-AF74-64FDC708C8C6}"/>
    <cellStyle name="40% - Accent1 2 2 2 2 2 3" xfId="11396" xr:uid="{219EAAA1-FB0B-461C-8705-40577AF388E4}"/>
    <cellStyle name="40% - Accent1 2 2 2 2 3" xfId="4969" xr:uid="{00000000-0005-0000-0000-0000C8030000}"/>
    <cellStyle name="40% - Accent1 2 2 2 2 3 2" xfId="13464" xr:uid="{D43783DD-40F9-428C-96DA-08B33950DDC3}"/>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022" xr:uid="{33F8F4E3-3219-48D7-9D2C-E672AD76ECBA}"/>
    <cellStyle name="40% - Accent1 2 2 2 3 2 3" xfId="11809" xr:uid="{26DCA7AF-97AD-486F-A371-88ECBE4EA87C}"/>
    <cellStyle name="40% - Accent1 2 2 2 3 3" xfId="5382" xr:uid="{00000000-0005-0000-0000-0000CC030000}"/>
    <cellStyle name="40% - Accent1 2 2 2 3 3 2" xfId="13877" xr:uid="{77301014-DA98-43D1-B992-BE91C4A64418}"/>
    <cellStyle name="40% - Accent1 2 2 2 3 4" xfId="9664" xr:uid="{12F3E90A-26EC-4289-9807-84A291EB2F48}"/>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435" xr:uid="{B38BB8DB-C454-42C0-9318-9488CCA5597C}"/>
    <cellStyle name="40% - Accent1 2 2 2 4 2 3" xfId="12222" xr:uid="{13A9BBBA-9454-449D-9BCD-292A95BD1B70}"/>
    <cellStyle name="40% - Accent1 2 2 2 4 3" xfId="5795" xr:uid="{00000000-0005-0000-0000-0000D0030000}"/>
    <cellStyle name="40% - Accent1 2 2 2 4 3 2" xfId="14290" xr:uid="{5E0C9318-466B-48EF-9C1C-C4B3D0CE967A}"/>
    <cellStyle name="40% - Accent1 2 2 2 4 4" xfId="10077" xr:uid="{46541E25-DFC4-4199-A82A-AF93D5A3D09C}"/>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48" xr:uid="{DC9AE349-379B-4324-B2F1-483A288ACC2F}"/>
    <cellStyle name="40% - Accent1 2 2 2 5 2 3" xfId="12635" xr:uid="{A3C48076-F45A-4C03-A8F9-067FDBAAEDCC}"/>
    <cellStyle name="40% - Accent1 2 2 2 5 3" xfId="6208" xr:uid="{00000000-0005-0000-0000-0000D4030000}"/>
    <cellStyle name="40% - Accent1 2 2 2 5 3 2" xfId="14703" xr:uid="{FE5BD6D8-72D1-42A2-AFB8-D9D24856E8B0}"/>
    <cellStyle name="40% - Accent1 2 2 2 5 4" xfId="10490" xr:uid="{AD154024-A588-432F-AED8-DEBD2F2D4DE4}"/>
    <cellStyle name="40% - Accent1 2 2 2 6" xfId="2315" xr:uid="{00000000-0005-0000-0000-0000D5030000}"/>
    <cellStyle name="40% - Accent1 2 2 2 6 2" xfId="6621" xr:uid="{00000000-0005-0000-0000-0000D6030000}"/>
    <cellStyle name="40% - Accent1 2 2 2 6 2 2" xfId="15116" xr:uid="{A83A841B-80E0-4EBB-86B7-731338383364}"/>
    <cellStyle name="40% - Accent1 2 2 2 6 3" xfId="10903" xr:uid="{7A277A68-81CA-4025-9C92-33C52D50A4A2}"/>
    <cellStyle name="40% - Accent1 2 2 2 7" xfId="4555" xr:uid="{00000000-0005-0000-0000-0000D7030000}"/>
    <cellStyle name="40% - Accent1 2 2 2 7 2" xfId="13051" xr:uid="{9A2FB55D-075A-4D3B-A668-CC768BBE64C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608" xr:uid="{DC14224D-B898-4078-B8E3-AB3E26A0D5F9}"/>
    <cellStyle name="40% - Accent1 2 2 3 2 3" xfId="11395" xr:uid="{A18C31D0-1F6C-4C8C-BD59-729F23055A6F}"/>
    <cellStyle name="40% - Accent1 2 2 3 3" xfId="4968" xr:uid="{00000000-0005-0000-0000-0000DB030000}"/>
    <cellStyle name="40% - Accent1 2 2 3 3 2" xfId="13463" xr:uid="{E3A520DC-D838-43E5-B90D-474E69D0BD53}"/>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021" xr:uid="{E3D00FB5-4596-49E2-B117-3D91D99A8B7A}"/>
    <cellStyle name="40% - Accent1 2 2 4 2 3" xfId="11808" xr:uid="{3D82764B-288C-4B9E-98B3-048AEEDA014C}"/>
    <cellStyle name="40% - Accent1 2 2 4 3" xfId="5381" xr:uid="{00000000-0005-0000-0000-0000DF030000}"/>
    <cellStyle name="40% - Accent1 2 2 4 3 2" xfId="13876" xr:uid="{13B8BCCE-BA71-40A3-BEEC-17B0139E5712}"/>
    <cellStyle name="40% - Accent1 2 2 4 4" xfId="9663" xr:uid="{B82BE8C6-EF8D-4E45-A98F-F2ABF461268C}"/>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434" xr:uid="{890A6CC2-1188-42B6-A7DE-2FDBF209DB56}"/>
    <cellStyle name="40% - Accent1 2 2 5 2 3" xfId="12221" xr:uid="{BC176C69-4798-45E8-9384-3568BE843BDA}"/>
    <cellStyle name="40% - Accent1 2 2 5 3" xfId="5794" xr:uid="{00000000-0005-0000-0000-0000E3030000}"/>
    <cellStyle name="40% - Accent1 2 2 5 3 2" xfId="14289" xr:uid="{DF625393-B545-4D7E-AA46-803F6547EFF9}"/>
    <cellStyle name="40% - Accent1 2 2 5 4" xfId="10076" xr:uid="{8C4CA32F-6036-4FA4-B9BA-458AA3596F9F}"/>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47" xr:uid="{2B89B30C-793E-41EF-928B-A5569BFA9831}"/>
    <cellStyle name="40% - Accent1 2 2 6 2 3" xfId="12634" xr:uid="{953DCAE8-250B-4A74-B531-F8A073CFD116}"/>
    <cellStyle name="40% - Accent1 2 2 6 3" xfId="6207" xr:uid="{00000000-0005-0000-0000-0000E7030000}"/>
    <cellStyle name="40% - Accent1 2 2 6 3 2" xfId="14702" xr:uid="{B0FFB279-3ADA-46C1-87D7-95A68F7B2695}"/>
    <cellStyle name="40% - Accent1 2 2 6 4" xfId="10489" xr:uid="{CD74D57E-1E42-4171-AC95-43E59D26DDEA}"/>
    <cellStyle name="40% - Accent1 2 2 7" xfId="2314" xr:uid="{00000000-0005-0000-0000-0000E8030000}"/>
    <cellStyle name="40% - Accent1 2 2 7 2" xfId="6620" xr:uid="{00000000-0005-0000-0000-0000E9030000}"/>
    <cellStyle name="40% - Accent1 2 2 7 2 2" xfId="15115" xr:uid="{8D883C11-32CD-4C81-8BF8-AD4BBC7D7CCA}"/>
    <cellStyle name="40% - Accent1 2 2 7 3" xfId="10902" xr:uid="{A8D39473-FF73-40FA-8957-9E2AF694EE23}"/>
    <cellStyle name="40% - Accent1 2 2 8" xfId="4554" xr:uid="{00000000-0005-0000-0000-0000EA030000}"/>
    <cellStyle name="40% - Accent1 2 2 8 2" xfId="13050" xr:uid="{DBB17016-645D-4AB2-B088-E9A866003008}"/>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610" xr:uid="{39918AC3-F630-48BC-910C-05F2C4318342}"/>
    <cellStyle name="40% - Accent1 2 3 2 2 3" xfId="11397" xr:uid="{B93EF1EF-B654-484D-893F-56AE27A8C4E0}"/>
    <cellStyle name="40% - Accent1 2 3 2 3" xfId="4970" xr:uid="{00000000-0005-0000-0000-0000EF030000}"/>
    <cellStyle name="40% - Accent1 2 3 2 3 2" xfId="13465" xr:uid="{35E672AA-2B11-4276-B986-9225C2D70DA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023" xr:uid="{2C88AF5F-6C1D-4578-8258-E53630D1E024}"/>
    <cellStyle name="40% - Accent1 2 3 3 2 3" xfId="11810" xr:uid="{413D2B29-ED4C-497F-AA31-E65BBA17ECD7}"/>
    <cellStyle name="40% - Accent1 2 3 3 3" xfId="5383" xr:uid="{00000000-0005-0000-0000-0000F3030000}"/>
    <cellStyle name="40% - Accent1 2 3 3 3 2" xfId="13878" xr:uid="{FB9DFF60-87DE-49EC-8EEE-F3856DDEF291}"/>
    <cellStyle name="40% - Accent1 2 3 3 4" xfId="9665" xr:uid="{3B564BB2-E784-46BC-82A7-5C8F5C0DF50D}"/>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436" xr:uid="{D0886C47-C14A-46D1-82C1-1F2811D78463}"/>
    <cellStyle name="40% - Accent1 2 3 4 2 3" xfId="12223" xr:uid="{450A2DCD-2574-4D34-9D1D-33FA283B193D}"/>
    <cellStyle name="40% - Accent1 2 3 4 3" xfId="5796" xr:uid="{00000000-0005-0000-0000-0000F7030000}"/>
    <cellStyle name="40% - Accent1 2 3 4 3 2" xfId="14291" xr:uid="{FC2509B6-E9E2-47A9-A75A-83AC022580A8}"/>
    <cellStyle name="40% - Accent1 2 3 4 4" xfId="10078" xr:uid="{EA7FE9E1-D4BB-46CE-8A6B-90610DD5AC08}"/>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49" xr:uid="{247579D7-9632-401C-81BD-E08B635011E9}"/>
    <cellStyle name="40% - Accent1 2 3 5 2 3" xfId="12636" xr:uid="{78668AE9-0D86-4E7D-8285-FADEBACB1471}"/>
    <cellStyle name="40% - Accent1 2 3 5 3" xfId="6209" xr:uid="{00000000-0005-0000-0000-0000FB030000}"/>
    <cellStyle name="40% - Accent1 2 3 5 3 2" xfId="14704" xr:uid="{26427B2F-8BDD-4CB7-98B0-0C4A81E7F85A}"/>
    <cellStyle name="40% - Accent1 2 3 5 4" xfId="10491" xr:uid="{E78A9C37-A499-4069-B26A-4897CE000FDC}"/>
    <cellStyle name="40% - Accent1 2 3 6" xfId="2316" xr:uid="{00000000-0005-0000-0000-0000FC030000}"/>
    <cellStyle name="40% - Accent1 2 3 6 2" xfId="6622" xr:uid="{00000000-0005-0000-0000-0000FD030000}"/>
    <cellStyle name="40% - Accent1 2 3 6 2 2" xfId="15117" xr:uid="{3DCC01F4-FE2E-4316-ABF8-41A903AAA926}"/>
    <cellStyle name="40% - Accent1 2 3 6 3" xfId="10904" xr:uid="{493AEDD8-4A4B-4DE4-BB83-059D44F824ED}"/>
    <cellStyle name="40% - Accent1 2 3 7" xfId="4556" xr:uid="{00000000-0005-0000-0000-0000FE030000}"/>
    <cellStyle name="40% - Accent1 2 3 7 2" xfId="13052" xr:uid="{4AA39F37-8F5B-4475-A02D-EF65AFFAFBAD}"/>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2 2 2" xfId="15607" xr:uid="{D444A3AF-9799-4285-95EC-74C00A01329E}"/>
    <cellStyle name="40% - Accent1 2 4 2 3" xfId="11394" xr:uid="{6E5D3E05-2B0E-499B-AD68-F53198A223D8}"/>
    <cellStyle name="40% - Accent1 2 4 3" xfId="4967" xr:uid="{00000000-0005-0000-0000-000002040000}"/>
    <cellStyle name="40% - Accent1 2 4 3 2" xfId="13462" xr:uid="{6D5FA621-82B4-458E-893E-CDE4B92D44F7}"/>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020" xr:uid="{CF5E6D74-4CF2-4916-8107-113237D5A53C}"/>
    <cellStyle name="40% - Accent1 2 5 2 3" xfId="11807" xr:uid="{DECBC9EB-90BE-444A-819F-733869DB141B}"/>
    <cellStyle name="40% - Accent1 2 5 3" xfId="5380" xr:uid="{00000000-0005-0000-0000-000006040000}"/>
    <cellStyle name="40% - Accent1 2 5 3 2" xfId="13875" xr:uid="{BC692393-4DB1-4197-A295-898358A458A0}"/>
    <cellStyle name="40% - Accent1 2 5 4" xfId="9662" xr:uid="{5A0CB253-1887-455D-BAD8-48CBEA8993F9}"/>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433" xr:uid="{1557844A-187D-431E-ABCC-0E41F96894A4}"/>
    <cellStyle name="40% - Accent1 2 6 2 3" xfId="12220" xr:uid="{2F3356A1-7A22-4F18-85DD-58544EA5C58E}"/>
    <cellStyle name="40% - Accent1 2 6 3" xfId="5793" xr:uid="{00000000-0005-0000-0000-00000A040000}"/>
    <cellStyle name="40% - Accent1 2 6 3 2" xfId="14288" xr:uid="{584034F4-A33B-4564-8D29-93F87814DBA6}"/>
    <cellStyle name="40% - Accent1 2 6 4" xfId="10075" xr:uid="{97752725-BF93-46D9-B409-5A1E2225B992}"/>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46" xr:uid="{3FDB3B4E-D431-4878-A151-A5D959A08FDA}"/>
    <cellStyle name="40% - Accent1 2 7 2 3" xfId="12633" xr:uid="{50F9855A-83E7-4CD2-8A0F-1BC2189D4DAF}"/>
    <cellStyle name="40% - Accent1 2 7 3" xfId="6206" xr:uid="{00000000-0005-0000-0000-00000E040000}"/>
    <cellStyle name="40% - Accent1 2 7 3 2" xfId="14701" xr:uid="{7C08FEFB-C659-4421-B82F-621AC5830360}"/>
    <cellStyle name="40% - Accent1 2 7 4" xfId="10488" xr:uid="{41A7E10B-F5DF-487B-85F3-B365A7FA8A5C}"/>
    <cellStyle name="40% - Accent1 2 8" xfId="2313" xr:uid="{00000000-0005-0000-0000-00000F040000}"/>
    <cellStyle name="40% - Accent1 2 8 2" xfId="6619" xr:uid="{00000000-0005-0000-0000-000010040000}"/>
    <cellStyle name="40% - Accent1 2 8 2 2" xfId="15114" xr:uid="{D7C14F6C-07C5-47BE-90DE-B51DBE08C706}"/>
    <cellStyle name="40% - Accent1 2 8 3" xfId="10901" xr:uid="{73E89DC0-2FC8-4928-8BE7-FEC6C5427127}"/>
    <cellStyle name="40% - Accent1 2 9" xfId="4553" xr:uid="{00000000-0005-0000-0000-000011040000}"/>
    <cellStyle name="40% - Accent1 2 9 2" xfId="13049" xr:uid="{D80AA150-1272-4A75-8E5A-AE82A2B1F708}"/>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612" xr:uid="{C30AD0D1-79A0-4E39-9971-6FA8979043EC}"/>
    <cellStyle name="40% - Accent1 3 2 2 2 3" xfId="11399" xr:uid="{5456BAA5-C1BE-43AC-9A6C-AD4BDCE423FD}"/>
    <cellStyle name="40% - Accent1 3 2 2 3" xfId="4972" xr:uid="{00000000-0005-0000-0000-000017040000}"/>
    <cellStyle name="40% - Accent1 3 2 2 3 2" xfId="13467" xr:uid="{2E7FAFF2-31D4-40DB-B719-5E1E09F6A5A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025" xr:uid="{A001165E-916B-4C02-962B-4C40CCF1B890}"/>
    <cellStyle name="40% - Accent1 3 2 3 2 3" xfId="11812" xr:uid="{F768558D-0387-4D6A-B5C1-67BF2D4E8B7A}"/>
    <cellStyle name="40% - Accent1 3 2 3 3" xfId="5385" xr:uid="{00000000-0005-0000-0000-00001B040000}"/>
    <cellStyle name="40% - Accent1 3 2 3 3 2" xfId="13880" xr:uid="{3A7D3555-D09A-4840-B77A-DC5A801BFD4E}"/>
    <cellStyle name="40% - Accent1 3 2 3 4" xfId="9667" xr:uid="{F86CF870-1726-4D4F-8EAD-0467D3D430A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438" xr:uid="{6A95D43F-37C4-4479-B200-BFAA543F0753}"/>
    <cellStyle name="40% - Accent1 3 2 4 2 3" xfId="12225" xr:uid="{49A68016-C700-4E2C-8F7E-48629F861B31}"/>
    <cellStyle name="40% - Accent1 3 2 4 3" xfId="5798" xr:uid="{00000000-0005-0000-0000-00001F040000}"/>
    <cellStyle name="40% - Accent1 3 2 4 3 2" xfId="14293" xr:uid="{0D428808-3D8D-4FF0-A16D-EC2E4D64EAC7}"/>
    <cellStyle name="40% - Accent1 3 2 4 4" xfId="10080" xr:uid="{547BDB93-6368-48BE-AA25-03D92F40A97C}"/>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51" xr:uid="{100A7746-CB6C-4300-95B1-DC4E17E61C16}"/>
    <cellStyle name="40% - Accent1 3 2 5 2 3" xfId="12638" xr:uid="{32EB52C0-ECBA-422F-9C9D-4937F677886D}"/>
    <cellStyle name="40% - Accent1 3 2 5 3" xfId="6211" xr:uid="{00000000-0005-0000-0000-000023040000}"/>
    <cellStyle name="40% - Accent1 3 2 5 3 2" xfId="14706" xr:uid="{25804D80-16E5-4132-9AEC-6B5032F2C805}"/>
    <cellStyle name="40% - Accent1 3 2 5 4" xfId="10493" xr:uid="{97BEA254-945F-457C-980B-E2217D2FD5D2}"/>
    <cellStyle name="40% - Accent1 3 2 6" xfId="2318" xr:uid="{00000000-0005-0000-0000-000024040000}"/>
    <cellStyle name="40% - Accent1 3 2 6 2" xfId="6624" xr:uid="{00000000-0005-0000-0000-000025040000}"/>
    <cellStyle name="40% - Accent1 3 2 6 2 2" xfId="15119" xr:uid="{39F3DA86-73E1-4D18-B7A2-F575F5D5E3D0}"/>
    <cellStyle name="40% - Accent1 3 2 6 3" xfId="10906" xr:uid="{30D0ACCC-DFE1-4C30-8F6B-F93834BEA216}"/>
    <cellStyle name="40% - Accent1 3 2 7" xfId="4558" xr:uid="{00000000-0005-0000-0000-000026040000}"/>
    <cellStyle name="40% - Accent1 3 2 7 2" xfId="13054" xr:uid="{12815DBD-BEF2-44A7-ABF9-2A0E348FCBDE}"/>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2 2 2" xfId="15611" xr:uid="{DB316683-CBAE-4CB3-B118-6F1603FDDBB1}"/>
    <cellStyle name="40% - Accent1 3 3 2 3" xfId="11398" xr:uid="{35B8F317-6632-4FCA-B9AA-598801BB8D45}"/>
    <cellStyle name="40% - Accent1 3 3 3" xfId="4971" xr:uid="{00000000-0005-0000-0000-00002A040000}"/>
    <cellStyle name="40% - Accent1 3 3 3 2" xfId="13466" xr:uid="{6E58F764-90CA-4457-9853-1432204865E9}"/>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024" xr:uid="{D59F8177-1908-4441-B616-3C4B63A81918}"/>
    <cellStyle name="40% - Accent1 3 4 2 3" xfId="11811" xr:uid="{E119E5C9-E4CB-4747-B836-6F4F116F806B}"/>
    <cellStyle name="40% - Accent1 3 4 3" xfId="5384" xr:uid="{00000000-0005-0000-0000-00002E040000}"/>
    <cellStyle name="40% - Accent1 3 4 3 2" xfId="13879" xr:uid="{3F2830BB-8427-4202-9819-8F3C7D51EC32}"/>
    <cellStyle name="40% - Accent1 3 4 4" xfId="9666" xr:uid="{DD5F4F83-2777-4157-87D4-AD6C28CC1BD7}"/>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437" xr:uid="{1136E6E5-7F6C-4C6A-B3E7-7AB0BC7F576C}"/>
    <cellStyle name="40% - Accent1 3 5 2 3" xfId="12224" xr:uid="{EF8D8D23-30C8-4A9B-A8C5-C184A8601CBC}"/>
    <cellStyle name="40% - Accent1 3 5 3" xfId="5797" xr:uid="{00000000-0005-0000-0000-000032040000}"/>
    <cellStyle name="40% - Accent1 3 5 3 2" xfId="14292" xr:uid="{85841FF4-3DB4-41FA-95A7-64E8098DDEA4}"/>
    <cellStyle name="40% - Accent1 3 5 4" xfId="10079" xr:uid="{7A240CE2-94C7-40A9-8D1D-DB313C7BD511}"/>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50" xr:uid="{832E8023-D23B-440C-BB1B-DC3F542BD8F7}"/>
    <cellStyle name="40% - Accent1 3 6 2 3" xfId="12637" xr:uid="{44B4BA53-8463-487B-BC64-4C13207D54FF}"/>
    <cellStyle name="40% - Accent1 3 6 3" xfId="6210" xr:uid="{00000000-0005-0000-0000-000036040000}"/>
    <cellStyle name="40% - Accent1 3 6 3 2" xfId="14705" xr:uid="{4007F5D3-66F2-4575-B0D3-640513620E6B}"/>
    <cellStyle name="40% - Accent1 3 6 4" xfId="10492" xr:uid="{5A1E16D6-E0B6-4862-ACB1-FE28E698A47E}"/>
    <cellStyle name="40% - Accent1 3 7" xfId="2317" xr:uid="{00000000-0005-0000-0000-000037040000}"/>
    <cellStyle name="40% - Accent1 3 7 2" xfId="6623" xr:uid="{00000000-0005-0000-0000-000038040000}"/>
    <cellStyle name="40% - Accent1 3 7 2 2" xfId="15118" xr:uid="{D45B5427-E140-4007-B09E-DD1BB3E033D6}"/>
    <cellStyle name="40% - Accent1 3 7 3" xfId="10905" xr:uid="{3E87A052-730C-4109-A9CC-600AA23260C5}"/>
    <cellStyle name="40% - Accent1 3 8" xfId="4557" xr:uid="{00000000-0005-0000-0000-000039040000}"/>
    <cellStyle name="40% - Accent1 3 8 2" xfId="13053" xr:uid="{94B36EE4-172D-4240-91D2-BD7A6F97B63D}"/>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613" xr:uid="{99B6E086-5068-44F3-A81D-581F5C3BD9E6}"/>
    <cellStyle name="40% - Accent1 4 2 2 3" xfId="11400" xr:uid="{E4D51AF1-44FB-4847-9028-FB4A0F90C0F3}"/>
    <cellStyle name="40% - Accent1 4 2 3" xfId="4973" xr:uid="{00000000-0005-0000-0000-00003E040000}"/>
    <cellStyle name="40% - Accent1 4 2 3 2" xfId="13468" xr:uid="{DB67A6CA-C2C6-4156-8DD6-99D403B5A54A}"/>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026" xr:uid="{3C17160C-B1DB-40E1-AC55-5A296FCD6138}"/>
    <cellStyle name="40% - Accent1 4 3 2 3" xfId="11813" xr:uid="{A3BB2691-CD21-4E16-A81F-D371E922AF76}"/>
    <cellStyle name="40% - Accent1 4 3 3" xfId="5386" xr:uid="{00000000-0005-0000-0000-000042040000}"/>
    <cellStyle name="40% - Accent1 4 3 3 2" xfId="13881" xr:uid="{40674735-673F-4C9B-9A53-67D762E5F739}"/>
    <cellStyle name="40% - Accent1 4 3 4" xfId="9668" xr:uid="{CAEC61F8-C1DF-4303-9C57-8CAD8A3B1CE2}"/>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439" xr:uid="{E86932D6-7985-4078-9131-28C77B70FBEF}"/>
    <cellStyle name="40% - Accent1 4 4 2 3" xfId="12226" xr:uid="{FCC23D19-3DFB-4981-84EE-F8AFF022A02F}"/>
    <cellStyle name="40% - Accent1 4 4 3" xfId="5799" xr:uid="{00000000-0005-0000-0000-000046040000}"/>
    <cellStyle name="40% - Accent1 4 4 3 2" xfId="14294" xr:uid="{7202CD19-EBAC-4ECA-AD4D-6D18795FC978}"/>
    <cellStyle name="40% - Accent1 4 4 4" xfId="10081" xr:uid="{97EFE7D3-5E58-4D5D-8711-40AE48403180}"/>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52" xr:uid="{4CBFB187-241B-417E-80A5-61F405A8B246}"/>
    <cellStyle name="40% - Accent1 4 5 2 3" xfId="12639" xr:uid="{8FEE09B5-8A98-4C39-8422-0D34EEA3D048}"/>
    <cellStyle name="40% - Accent1 4 5 3" xfId="6212" xr:uid="{00000000-0005-0000-0000-00004A040000}"/>
    <cellStyle name="40% - Accent1 4 5 3 2" xfId="14707" xr:uid="{D460BBBC-AEB4-44CD-9230-AE29284225E3}"/>
    <cellStyle name="40% - Accent1 4 5 4" xfId="10494" xr:uid="{FB0B7041-F461-42B5-B13F-07B09557BEC5}"/>
    <cellStyle name="40% - Accent1 4 6" xfId="2319" xr:uid="{00000000-0005-0000-0000-00004B040000}"/>
    <cellStyle name="40% - Accent1 4 6 2" xfId="6625" xr:uid="{00000000-0005-0000-0000-00004C040000}"/>
    <cellStyle name="40% - Accent1 4 6 2 2" xfId="15120" xr:uid="{8F5C33D2-D05B-4DC9-BDD4-73CB7C117AE1}"/>
    <cellStyle name="40% - Accent1 4 6 3" xfId="10907" xr:uid="{323701BE-3636-4AEB-AB75-062A2F7676D1}"/>
    <cellStyle name="40% - Accent1 4 7" xfId="4559" xr:uid="{00000000-0005-0000-0000-00004D040000}"/>
    <cellStyle name="40% - Accent1 4 7 2" xfId="13055" xr:uid="{C7DB7AA9-666F-4220-9A30-99DE24A0E24A}"/>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2 2 2" xfId="15606" xr:uid="{9C3AD81E-D600-4FED-9CED-CE819E8219C7}"/>
    <cellStyle name="40% - Accent1 5 2 3" xfId="11393" xr:uid="{B331C36E-66C6-4985-945B-632F150DF214}"/>
    <cellStyle name="40% - Accent1 5 3" xfId="4966" xr:uid="{00000000-0005-0000-0000-000051040000}"/>
    <cellStyle name="40% - Accent1 5 3 2" xfId="13461" xr:uid="{823B9808-5948-493A-AD02-63350A6890CE}"/>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2 2 2" xfId="16019" xr:uid="{561E1A2C-9D37-4C5B-AAAA-2869A6D672F7}"/>
    <cellStyle name="40% - Accent1 6 2 3" xfId="11806" xr:uid="{956CD577-2A89-40A9-A954-C7CDD8AADC4E}"/>
    <cellStyle name="40% - Accent1 6 3" xfId="5379" xr:uid="{00000000-0005-0000-0000-000055040000}"/>
    <cellStyle name="40% - Accent1 6 3 2" xfId="13874" xr:uid="{C7A8F104-4AD9-43E0-84F1-F05E70B5BFA0}"/>
    <cellStyle name="40% - Accent1 6 4" xfId="9661" xr:uid="{1B2C0B1F-C357-4AB7-BF84-BED685D93DBA}"/>
    <cellStyle name="40% - Accent1 7" xfId="1485" xr:uid="{00000000-0005-0000-0000-000056040000}"/>
    <cellStyle name="40% - Accent1 7 2" xfId="3715" xr:uid="{00000000-0005-0000-0000-000057040000}"/>
    <cellStyle name="40% - Accent1 7 2 2" xfId="7937" xr:uid="{00000000-0005-0000-0000-000058040000}"/>
    <cellStyle name="40% - Accent1 7 2 2 2" xfId="16432" xr:uid="{9EBB783B-090D-4C4F-AC60-5F796AD5CB38}"/>
    <cellStyle name="40% - Accent1 7 2 3" xfId="12219" xr:uid="{F2689E57-FE43-4D01-8C66-6E74B90885F9}"/>
    <cellStyle name="40% - Accent1 7 3" xfId="5792" xr:uid="{00000000-0005-0000-0000-000059040000}"/>
    <cellStyle name="40% - Accent1 7 3 2" xfId="14287" xr:uid="{868FAF36-4726-415A-9649-70989CB5FFB4}"/>
    <cellStyle name="40% - Accent1 7 4" xfId="10074" xr:uid="{43BF5D9E-C2A4-4E98-A0E5-7E776C1973D0}"/>
    <cellStyle name="40% - Accent1 8" xfId="1899" xr:uid="{00000000-0005-0000-0000-00005A040000}"/>
    <cellStyle name="40% - Accent1 8 2" xfId="4128" xr:uid="{00000000-0005-0000-0000-00005B040000}"/>
    <cellStyle name="40% - Accent1 8 2 2" xfId="8350" xr:uid="{00000000-0005-0000-0000-00005C040000}"/>
    <cellStyle name="40% - Accent1 8 2 2 2" xfId="16845" xr:uid="{5F1FC486-56AC-4828-9B68-2754D58A4091}"/>
    <cellStyle name="40% - Accent1 8 2 3" xfId="12632" xr:uid="{FB76244B-E4B8-4BB5-87CF-3DE00F10381D}"/>
    <cellStyle name="40% - Accent1 8 3" xfId="6205" xr:uid="{00000000-0005-0000-0000-00005D040000}"/>
    <cellStyle name="40% - Accent1 8 3 2" xfId="14700" xr:uid="{E13596E4-59CC-41C6-B22C-5EEAED7D89A5}"/>
    <cellStyle name="40% - Accent1 8 4" xfId="10487" xr:uid="{E44D59FA-4F39-4845-BEE5-D53213C771CE}"/>
    <cellStyle name="40% - Accent1 9" xfId="2312" xr:uid="{00000000-0005-0000-0000-00005E040000}"/>
    <cellStyle name="40% - Accent1 9 2" xfId="6618" xr:uid="{00000000-0005-0000-0000-00005F040000}"/>
    <cellStyle name="40% - Accent1 9 2 2" xfId="15113" xr:uid="{33788570-64E9-40B9-AECD-969576742A2D}"/>
    <cellStyle name="40% - Accent1 9 3" xfId="10900" xr:uid="{AD63DCD4-D488-4DFF-9FA6-F6D21C311800}"/>
    <cellStyle name="40% - Accent2" xfId="57" builtinId="35" customBuiltin="1"/>
    <cellStyle name="40% - Accent2 10" xfId="4560" xr:uid="{00000000-0005-0000-0000-000061040000}"/>
    <cellStyle name="40% - Accent2 10 2" xfId="13056" xr:uid="{08757126-1C7B-4F71-A813-C45B75041D6B}"/>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617" xr:uid="{4FEBA8C9-236A-406C-9A15-4F37E0B22FD4}"/>
    <cellStyle name="40% - Accent2 2 2 2 2 2 3" xfId="11404" xr:uid="{56FB751B-D92F-42B3-AC70-E4B46A18AD96}"/>
    <cellStyle name="40% - Accent2 2 2 2 2 3" xfId="4977" xr:uid="{00000000-0005-0000-0000-000068040000}"/>
    <cellStyle name="40% - Accent2 2 2 2 2 3 2" xfId="13472" xr:uid="{46F84531-0DDB-4EAA-9A81-2D11B25643A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030" xr:uid="{2B0B9FB7-B6EB-4FCD-97FD-75D32C1CFA6D}"/>
    <cellStyle name="40% - Accent2 2 2 2 3 2 3" xfId="11817" xr:uid="{B8198297-3EF8-4CAA-A61C-626FBBFB616D}"/>
    <cellStyle name="40% - Accent2 2 2 2 3 3" xfId="5390" xr:uid="{00000000-0005-0000-0000-00006C040000}"/>
    <cellStyle name="40% - Accent2 2 2 2 3 3 2" xfId="13885" xr:uid="{F846388C-D35F-4C20-BE95-89A7A22BFDD1}"/>
    <cellStyle name="40% - Accent2 2 2 2 3 4" xfId="9672" xr:uid="{D9171D33-8B2E-4DF0-B0E5-0CE7E635C7A2}"/>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443" xr:uid="{3B7F960C-173E-4005-AD85-8C1602D1DA6D}"/>
    <cellStyle name="40% - Accent2 2 2 2 4 2 3" xfId="12230" xr:uid="{0377DA4F-17BD-4EE6-A71E-7ED92E41EEEA}"/>
    <cellStyle name="40% - Accent2 2 2 2 4 3" xfId="5803" xr:uid="{00000000-0005-0000-0000-000070040000}"/>
    <cellStyle name="40% - Accent2 2 2 2 4 3 2" xfId="14298" xr:uid="{402B6B5F-F57C-4898-A757-449CFC4C888A}"/>
    <cellStyle name="40% - Accent2 2 2 2 4 4" xfId="10085" xr:uid="{3C9030B9-C740-4B82-873D-11482683003E}"/>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56" xr:uid="{7FED32B4-45B3-4F41-8DFD-9BF2C443D24C}"/>
    <cellStyle name="40% - Accent2 2 2 2 5 2 3" xfId="12643" xr:uid="{E129D095-0FAA-4609-90BB-CCDEB720AD8A}"/>
    <cellStyle name="40% - Accent2 2 2 2 5 3" xfId="6216" xr:uid="{00000000-0005-0000-0000-000074040000}"/>
    <cellStyle name="40% - Accent2 2 2 2 5 3 2" xfId="14711" xr:uid="{D5913FFB-3A55-414D-B371-D556D8778B0D}"/>
    <cellStyle name="40% - Accent2 2 2 2 5 4" xfId="10498" xr:uid="{83602F8D-DB01-43F0-8E67-24087A30BCF1}"/>
    <cellStyle name="40% - Accent2 2 2 2 6" xfId="2323" xr:uid="{00000000-0005-0000-0000-000075040000}"/>
    <cellStyle name="40% - Accent2 2 2 2 6 2" xfId="6629" xr:uid="{00000000-0005-0000-0000-000076040000}"/>
    <cellStyle name="40% - Accent2 2 2 2 6 2 2" xfId="15124" xr:uid="{F5A848D1-2429-4C14-80C9-6CD099DEC0A2}"/>
    <cellStyle name="40% - Accent2 2 2 2 6 3" xfId="10911" xr:uid="{D415A988-599C-4069-BC57-A31B2BD7CFF9}"/>
    <cellStyle name="40% - Accent2 2 2 2 7" xfId="4563" xr:uid="{00000000-0005-0000-0000-000077040000}"/>
    <cellStyle name="40% - Accent2 2 2 2 7 2" xfId="13059" xr:uid="{646D4514-C708-45CF-A35C-954FEC5A9D4A}"/>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616" xr:uid="{ECF6C31B-A3DA-462E-BFF0-67E7988FC7F3}"/>
    <cellStyle name="40% - Accent2 2 2 3 2 3" xfId="11403" xr:uid="{26983725-F5E9-4482-9098-2E3D0621B0C5}"/>
    <cellStyle name="40% - Accent2 2 2 3 3" xfId="4976" xr:uid="{00000000-0005-0000-0000-00007B040000}"/>
    <cellStyle name="40% - Accent2 2 2 3 3 2" xfId="13471" xr:uid="{215A37F1-7600-41E8-A4AF-FE11CC555C66}"/>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029" xr:uid="{E1BC30F6-A65D-46F6-AC17-739E378660C9}"/>
    <cellStyle name="40% - Accent2 2 2 4 2 3" xfId="11816" xr:uid="{1B3AD86C-9160-48AE-9E30-77F88BED739A}"/>
    <cellStyle name="40% - Accent2 2 2 4 3" xfId="5389" xr:uid="{00000000-0005-0000-0000-00007F040000}"/>
    <cellStyle name="40% - Accent2 2 2 4 3 2" xfId="13884" xr:uid="{8B5A18C3-D78D-4F90-AC3F-8D82EEE22CB6}"/>
    <cellStyle name="40% - Accent2 2 2 4 4" xfId="9671" xr:uid="{973A68FF-3CB9-40BE-9D10-C99DD43DDC9B}"/>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442" xr:uid="{1B54BE44-C4DE-4DFD-B4A2-CA7C56419D24}"/>
    <cellStyle name="40% - Accent2 2 2 5 2 3" xfId="12229" xr:uid="{3289C8AA-E669-405F-83D2-CFB607473628}"/>
    <cellStyle name="40% - Accent2 2 2 5 3" xfId="5802" xr:uid="{00000000-0005-0000-0000-000083040000}"/>
    <cellStyle name="40% - Accent2 2 2 5 3 2" xfId="14297" xr:uid="{5A196C8C-DED5-4894-8334-048A96925D6E}"/>
    <cellStyle name="40% - Accent2 2 2 5 4" xfId="10084" xr:uid="{6A09CD61-2943-43B8-BBD2-844A8B9A7080}"/>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55" xr:uid="{BACE36A5-6662-419E-807A-F72EF3CCADC5}"/>
    <cellStyle name="40% - Accent2 2 2 6 2 3" xfId="12642" xr:uid="{34BB3FBA-7D9D-43C8-8413-978F86FA6DEE}"/>
    <cellStyle name="40% - Accent2 2 2 6 3" xfId="6215" xr:uid="{00000000-0005-0000-0000-000087040000}"/>
    <cellStyle name="40% - Accent2 2 2 6 3 2" xfId="14710" xr:uid="{2ED4A4E0-FEFB-4E37-A94D-B72A1039D0C5}"/>
    <cellStyle name="40% - Accent2 2 2 6 4" xfId="10497" xr:uid="{ADF470B2-599E-41C6-AFF5-5FEB1FE17702}"/>
    <cellStyle name="40% - Accent2 2 2 7" xfId="2322" xr:uid="{00000000-0005-0000-0000-000088040000}"/>
    <cellStyle name="40% - Accent2 2 2 7 2" xfId="6628" xr:uid="{00000000-0005-0000-0000-000089040000}"/>
    <cellStyle name="40% - Accent2 2 2 7 2 2" xfId="15123" xr:uid="{D64BC833-309C-42A9-B5F8-76E8CE932636}"/>
    <cellStyle name="40% - Accent2 2 2 7 3" xfId="10910" xr:uid="{32953530-ACC0-4A7A-8725-E8F148D5448A}"/>
    <cellStyle name="40% - Accent2 2 2 8" xfId="4562" xr:uid="{00000000-0005-0000-0000-00008A040000}"/>
    <cellStyle name="40% - Accent2 2 2 8 2" xfId="13058" xr:uid="{E82A1106-9312-4F14-88E9-39783756CF99}"/>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618" xr:uid="{E4B3A28F-5C31-434B-A27B-375A934E8274}"/>
    <cellStyle name="40% - Accent2 2 3 2 2 3" xfId="11405" xr:uid="{DAEC9E84-5C73-4C6A-81C4-92D67656BFCD}"/>
    <cellStyle name="40% - Accent2 2 3 2 3" xfId="4978" xr:uid="{00000000-0005-0000-0000-00008F040000}"/>
    <cellStyle name="40% - Accent2 2 3 2 3 2" xfId="13473" xr:uid="{F27EB3C9-0D30-468F-8C83-45F9CD4FB2C2}"/>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031" xr:uid="{F8DFC658-9E6F-41A6-B734-DBC9657C0DCC}"/>
    <cellStyle name="40% - Accent2 2 3 3 2 3" xfId="11818" xr:uid="{252726F1-0A3F-4792-AF1D-90C7D45CBFBB}"/>
    <cellStyle name="40% - Accent2 2 3 3 3" xfId="5391" xr:uid="{00000000-0005-0000-0000-000093040000}"/>
    <cellStyle name="40% - Accent2 2 3 3 3 2" xfId="13886" xr:uid="{2685F1C6-2A39-42EF-BEEB-BB8F90E76A91}"/>
    <cellStyle name="40% - Accent2 2 3 3 4" xfId="9673" xr:uid="{D03D84B7-B81A-4430-9F73-E4AFD6346AF7}"/>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444" xr:uid="{EC25F0CF-72A8-41E0-B23E-B1F6E54F334D}"/>
    <cellStyle name="40% - Accent2 2 3 4 2 3" xfId="12231" xr:uid="{E94DC5ED-FA58-4C0C-8734-60D9D7B9D451}"/>
    <cellStyle name="40% - Accent2 2 3 4 3" xfId="5804" xr:uid="{00000000-0005-0000-0000-000097040000}"/>
    <cellStyle name="40% - Accent2 2 3 4 3 2" xfId="14299" xr:uid="{F5814BAA-DFD5-4650-85A1-57A68F93F38D}"/>
    <cellStyle name="40% - Accent2 2 3 4 4" xfId="10086" xr:uid="{28055C6A-9835-4CA5-B142-266422917173}"/>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57" xr:uid="{62C0575C-6D14-48F8-87CC-2C836E072EB4}"/>
    <cellStyle name="40% - Accent2 2 3 5 2 3" xfId="12644" xr:uid="{B7D97ABA-CF08-4063-8370-8F168D191AC0}"/>
    <cellStyle name="40% - Accent2 2 3 5 3" xfId="6217" xr:uid="{00000000-0005-0000-0000-00009B040000}"/>
    <cellStyle name="40% - Accent2 2 3 5 3 2" xfId="14712" xr:uid="{B2416C4F-16A5-40A9-871E-84192639B7BA}"/>
    <cellStyle name="40% - Accent2 2 3 5 4" xfId="10499" xr:uid="{F8DB5F97-2E5C-4098-82F9-F07D56C490D9}"/>
    <cellStyle name="40% - Accent2 2 3 6" xfId="2324" xr:uid="{00000000-0005-0000-0000-00009C040000}"/>
    <cellStyle name="40% - Accent2 2 3 6 2" xfId="6630" xr:uid="{00000000-0005-0000-0000-00009D040000}"/>
    <cellStyle name="40% - Accent2 2 3 6 2 2" xfId="15125" xr:uid="{3A52CCF4-3E59-49B8-8DE5-820A2C422D8A}"/>
    <cellStyle name="40% - Accent2 2 3 6 3" xfId="10912" xr:uid="{439759E4-AF79-4E37-B49C-EE56BF9553B5}"/>
    <cellStyle name="40% - Accent2 2 3 7" xfId="4564" xr:uid="{00000000-0005-0000-0000-00009E040000}"/>
    <cellStyle name="40% - Accent2 2 3 7 2" xfId="13060" xr:uid="{D17BEB55-A1C0-407F-818A-93119E11C871}"/>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2 2 2" xfId="15615" xr:uid="{2556306F-8A38-4E1F-B1A0-B30BC3986AE3}"/>
    <cellStyle name="40% - Accent2 2 4 2 3" xfId="11402" xr:uid="{B113D0BD-6698-44B1-AFA9-E3B7F7A69C46}"/>
    <cellStyle name="40% - Accent2 2 4 3" xfId="4975" xr:uid="{00000000-0005-0000-0000-0000A2040000}"/>
    <cellStyle name="40% - Accent2 2 4 3 2" xfId="13470" xr:uid="{220151DD-B0AD-4A15-BC01-480DF93F0281}"/>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028" xr:uid="{F9A7F2E5-F248-428E-A448-5BC81D4A4545}"/>
    <cellStyle name="40% - Accent2 2 5 2 3" xfId="11815" xr:uid="{7A0D0B5A-CCF0-4AE7-A5FF-843A1D5AD8DE}"/>
    <cellStyle name="40% - Accent2 2 5 3" xfId="5388" xr:uid="{00000000-0005-0000-0000-0000A6040000}"/>
    <cellStyle name="40% - Accent2 2 5 3 2" xfId="13883" xr:uid="{28397BD4-354D-4255-BFD7-8C34AF68FB0C}"/>
    <cellStyle name="40% - Accent2 2 5 4" xfId="9670" xr:uid="{2589C017-A111-4987-95EE-2CB00CBC1E78}"/>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441" xr:uid="{CD342A84-7FB3-4281-BE93-F3737BE78C1E}"/>
    <cellStyle name="40% - Accent2 2 6 2 3" xfId="12228" xr:uid="{1C72FB26-82DE-479C-9F3D-8EE75913A75B}"/>
    <cellStyle name="40% - Accent2 2 6 3" xfId="5801" xr:uid="{00000000-0005-0000-0000-0000AA040000}"/>
    <cellStyle name="40% - Accent2 2 6 3 2" xfId="14296" xr:uid="{3DFFCB1C-2AFD-4712-B869-8F370B40CAE5}"/>
    <cellStyle name="40% - Accent2 2 6 4" xfId="10083" xr:uid="{56A174F5-72FC-4808-A11F-7B2D09701343}"/>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54" xr:uid="{01B1039D-360B-4F3E-BB40-05A7E2AB9AE2}"/>
    <cellStyle name="40% - Accent2 2 7 2 3" xfId="12641" xr:uid="{DAF882A5-0CC2-47E7-BD9A-7DAC9F216E3D}"/>
    <cellStyle name="40% - Accent2 2 7 3" xfId="6214" xr:uid="{00000000-0005-0000-0000-0000AE040000}"/>
    <cellStyle name="40% - Accent2 2 7 3 2" xfId="14709" xr:uid="{A7DD2B2A-ED6D-4EAA-913B-15272E56F8E5}"/>
    <cellStyle name="40% - Accent2 2 7 4" xfId="10496" xr:uid="{61CB0CD0-DC2A-468A-B2B7-27F9FFFC69BD}"/>
    <cellStyle name="40% - Accent2 2 8" xfId="2321" xr:uid="{00000000-0005-0000-0000-0000AF040000}"/>
    <cellStyle name="40% - Accent2 2 8 2" xfId="6627" xr:uid="{00000000-0005-0000-0000-0000B0040000}"/>
    <cellStyle name="40% - Accent2 2 8 2 2" xfId="15122" xr:uid="{23A7580E-703B-4B1C-A469-A0204B1910C0}"/>
    <cellStyle name="40% - Accent2 2 8 3" xfId="10909" xr:uid="{138008B6-3AD4-41F8-BA7E-34CF9362CED2}"/>
    <cellStyle name="40% - Accent2 2 9" xfId="4561" xr:uid="{00000000-0005-0000-0000-0000B1040000}"/>
    <cellStyle name="40% - Accent2 2 9 2" xfId="13057" xr:uid="{133FDDB9-A208-4085-9C13-303D5288DC61}"/>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620" xr:uid="{1F6546AC-4B69-4A97-A52C-50C1D4C1F401}"/>
    <cellStyle name="40% - Accent2 3 2 2 2 3" xfId="11407" xr:uid="{51CC04E3-7381-4C6F-BFDA-A95C6FF4305C}"/>
    <cellStyle name="40% - Accent2 3 2 2 3" xfId="4980" xr:uid="{00000000-0005-0000-0000-0000B7040000}"/>
    <cellStyle name="40% - Accent2 3 2 2 3 2" xfId="13475" xr:uid="{CCD4B577-2F4A-4F81-8A25-80500341A082}"/>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033" xr:uid="{82DCFA9B-D3C4-4687-A0C0-40FCD595612A}"/>
    <cellStyle name="40% - Accent2 3 2 3 2 3" xfId="11820" xr:uid="{95FCCDB7-7C78-4648-BD86-4368CA3E027D}"/>
    <cellStyle name="40% - Accent2 3 2 3 3" xfId="5393" xr:uid="{00000000-0005-0000-0000-0000BB040000}"/>
    <cellStyle name="40% - Accent2 3 2 3 3 2" xfId="13888" xr:uid="{E87C845F-501D-43B3-A73E-C4595CFEDE37}"/>
    <cellStyle name="40% - Accent2 3 2 3 4" xfId="9675" xr:uid="{0F15E97C-7983-41EB-AB10-653F55CA3363}"/>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46" xr:uid="{084F8F37-3BA1-4A8F-B191-89D6335E351A}"/>
    <cellStyle name="40% - Accent2 3 2 4 2 3" xfId="12233" xr:uid="{7CF4CB10-A6D1-4FB3-A18B-3AF5A779EA75}"/>
    <cellStyle name="40% - Accent2 3 2 4 3" xfId="5806" xr:uid="{00000000-0005-0000-0000-0000BF040000}"/>
    <cellStyle name="40% - Accent2 3 2 4 3 2" xfId="14301" xr:uid="{DE726E15-29C2-49C8-808F-A8271533F7D8}"/>
    <cellStyle name="40% - Accent2 3 2 4 4" xfId="10088" xr:uid="{0223F41C-E6AC-41A8-9909-363FE006FDC4}"/>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59" xr:uid="{E45A9A34-B0D3-47F4-BE3E-7184CBB370F2}"/>
    <cellStyle name="40% - Accent2 3 2 5 2 3" xfId="12646" xr:uid="{E1390D5E-6D19-4AE8-A642-158EC629F7EA}"/>
    <cellStyle name="40% - Accent2 3 2 5 3" xfId="6219" xr:uid="{00000000-0005-0000-0000-0000C3040000}"/>
    <cellStyle name="40% - Accent2 3 2 5 3 2" xfId="14714" xr:uid="{A54DD2B8-6F9A-4DA5-A694-37772872F284}"/>
    <cellStyle name="40% - Accent2 3 2 5 4" xfId="10501" xr:uid="{D67E22BE-2A1D-4062-B566-F3B5B7DC6A69}"/>
    <cellStyle name="40% - Accent2 3 2 6" xfId="2326" xr:uid="{00000000-0005-0000-0000-0000C4040000}"/>
    <cellStyle name="40% - Accent2 3 2 6 2" xfId="6632" xr:uid="{00000000-0005-0000-0000-0000C5040000}"/>
    <cellStyle name="40% - Accent2 3 2 6 2 2" xfId="15127" xr:uid="{A80375A3-13B9-453E-ABBA-BA8EFB3292BE}"/>
    <cellStyle name="40% - Accent2 3 2 6 3" xfId="10914" xr:uid="{C5BE0FFD-FF71-4514-81BE-2B2D9DA872FB}"/>
    <cellStyle name="40% - Accent2 3 2 7" xfId="4566" xr:uid="{00000000-0005-0000-0000-0000C6040000}"/>
    <cellStyle name="40% - Accent2 3 2 7 2" xfId="13062" xr:uid="{8AD0F69D-DF22-4599-8C2A-099974CB9BDC}"/>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2 2 2" xfId="15619" xr:uid="{3427294D-7968-4CD6-AED7-D3EC6C96BA4F}"/>
    <cellStyle name="40% - Accent2 3 3 2 3" xfId="11406" xr:uid="{A76E5C99-8D6C-4EAB-B3D6-D019BD16F3B4}"/>
    <cellStyle name="40% - Accent2 3 3 3" xfId="4979" xr:uid="{00000000-0005-0000-0000-0000CA040000}"/>
    <cellStyle name="40% - Accent2 3 3 3 2" xfId="13474" xr:uid="{CA703CD6-B0EF-4C74-B260-E0311750B363}"/>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032" xr:uid="{6A294815-9D85-4902-BC7D-5D60A40A7D46}"/>
    <cellStyle name="40% - Accent2 3 4 2 3" xfId="11819" xr:uid="{1D2D2846-9A56-4E1E-A7BC-58F299C4209C}"/>
    <cellStyle name="40% - Accent2 3 4 3" xfId="5392" xr:uid="{00000000-0005-0000-0000-0000CE040000}"/>
    <cellStyle name="40% - Accent2 3 4 3 2" xfId="13887" xr:uid="{DB16212A-6494-4F27-99BB-4A7AA60C3142}"/>
    <cellStyle name="40% - Accent2 3 4 4" xfId="9674" xr:uid="{1D5C7A84-8FE9-44D3-BE47-B8F8B8EE5D5A}"/>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45" xr:uid="{A8375A7E-5C80-499F-82CC-39E881EB2F96}"/>
    <cellStyle name="40% - Accent2 3 5 2 3" xfId="12232" xr:uid="{4246C5AD-2A81-4AF2-A091-6227851A4ECA}"/>
    <cellStyle name="40% - Accent2 3 5 3" xfId="5805" xr:uid="{00000000-0005-0000-0000-0000D2040000}"/>
    <cellStyle name="40% - Accent2 3 5 3 2" xfId="14300" xr:uid="{3367A229-E908-4D36-A3F8-C396DE4628C3}"/>
    <cellStyle name="40% - Accent2 3 5 4" xfId="10087" xr:uid="{52D29FF2-19CE-40EF-AA66-8D1DB697FAAF}"/>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58" xr:uid="{20AAB498-6F75-4936-B6DF-8893F04B16B4}"/>
    <cellStyle name="40% - Accent2 3 6 2 3" xfId="12645" xr:uid="{7FED3976-AE96-42B7-9297-18AA9F418B1D}"/>
    <cellStyle name="40% - Accent2 3 6 3" xfId="6218" xr:uid="{00000000-0005-0000-0000-0000D6040000}"/>
    <cellStyle name="40% - Accent2 3 6 3 2" xfId="14713" xr:uid="{9885D25B-98CA-47D3-A5DD-2E3DA1BA5505}"/>
    <cellStyle name="40% - Accent2 3 6 4" xfId="10500" xr:uid="{47196D1C-28EB-4B72-B019-CD972D70F3C7}"/>
    <cellStyle name="40% - Accent2 3 7" xfId="2325" xr:uid="{00000000-0005-0000-0000-0000D7040000}"/>
    <cellStyle name="40% - Accent2 3 7 2" xfId="6631" xr:uid="{00000000-0005-0000-0000-0000D8040000}"/>
    <cellStyle name="40% - Accent2 3 7 2 2" xfId="15126" xr:uid="{CDD204F5-CE7D-4DD8-A568-071D70114528}"/>
    <cellStyle name="40% - Accent2 3 7 3" xfId="10913" xr:uid="{3EA0C7BA-D5DE-4F7C-BD3C-930421F1D7AB}"/>
    <cellStyle name="40% - Accent2 3 8" xfId="4565" xr:uid="{00000000-0005-0000-0000-0000D9040000}"/>
    <cellStyle name="40% - Accent2 3 8 2" xfId="13061" xr:uid="{BB71920F-5626-4771-8A3B-FD6F5AF76409}"/>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621" xr:uid="{51AD6D40-46AF-427B-AB27-5EA1F2B0AEB4}"/>
    <cellStyle name="40% - Accent2 4 2 2 3" xfId="11408" xr:uid="{4E3B2B35-DC26-4D32-89C5-3E1CA2125D88}"/>
    <cellStyle name="40% - Accent2 4 2 3" xfId="4981" xr:uid="{00000000-0005-0000-0000-0000DE040000}"/>
    <cellStyle name="40% - Accent2 4 2 3 2" xfId="13476" xr:uid="{84D5FABC-F6AF-4E88-92E8-A10B58881B6A}"/>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034" xr:uid="{9DC7DD3E-88D5-453E-BC5B-353B493F2BF8}"/>
    <cellStyle name="40% - Accent2 4 3 2 3" xfId="11821" xr:uid="{A4BFE130-C784-420E-BD54-40226BB45432}"/>
    <cellStyle name="40% - Accent2 4 3 3" xfId="5394" xr:uid="{00000000-0005-0000-0000-0000E2040000}"/>
    <cellStyle name="40% - Accent2 4 3 3 2" xfId="13889" xr:uid="{859687A0-DF3A-4818-8E0A-3494D1DDA060}"/>
    <cellStyle name="40% - Accent2 4 3 4" xfId="9676" xr:uid="{ECDA0C68-29B8-444D-AB5F-BB797E79285E}"/>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47" xr:uid="{30108499-9591-43D3-B774-5484CFB561F3}"/>
    <cellStyle name="40% - Accent2 4 4 2 3" xfId="12234" xr:uid="{A0AC4CD7-1508-42E7-8539-0984103122E5}"/>
    <cellStyle name="40% - Accent2 4 4 3" xfId="5807" xr:uid="{00000000-0005-0000-0000-0000E6040000}"/>
    <cellStyle name="40% - Accent2 4 4 3 2" xfId="14302" xr:uid="{46107FDD-A8EE-4128-8B10-1DB7C6754A4B}"/>
    <cellStyle name="40% - Accent2 4 4 4" xfId="10089" xr:uid="{88B7CD20-7DA8-4335-997C-29F3286196B7}"/>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60" xr:uid="{C833AE4B-2690-416A-BB1C-0C79CC941447}"/>
    <cellStyle name="40% - Accent2 4 5 2 3" xfId="12647" xr:uid="{967E8C88-DE43-4FC1-9DBC-3058CF51ADA0}"/>
    <cellStyle name="40% - Accent2 4 5 3" xfId="6220" xr:uid="{00000000-0005-0000-0000-0000EA040000}"/>
    <cellStyle name="40% - Accent2 4 5 3 2" xfId="14715" xr:uid="{EFB7E16E-944E-4891-9352-98FC454E8C99}"/>
    <cellStyle name="40% - Accent2 4 5 4" xfId="10502" xr:uid="{E42ABF51-E47A-45E1-AEBC-272552ABBBEE}"/>
    <cellStyle name="40% - Accent2 4 6" xfId="2327" xr:uid="{00000000-0005-0000-0000-0000EB040000}"/>
    <cellStyle name="40% - Accent2 4 6 2" xfId="6633" xr:uid="{00000000-0005-0000-0000-0000EC040000}"/>
    <cellStyle name="40% - Accent2 4 6 2 2" xfId="15128" xr:uid="{CB21B451-E673-4F96-BF51-8DDB3DF2D74F}"/>
    <cellStyle name="40% - Accent2 4 6 3" xfId="10915" xr:uid="{FEE9F58B-5179-495A-AA39-FF98C792DD7E}"/>
    <cellStyle name="40% - Accent2 4 7" xfId="4567" xr:uid="{00000000-0005-0000-0000-0000ED040000}"/>
    <cellStyle name="40% - Accent2 4 7 2" xfId="13063" xr:uid="{63C5E55B-59B1-494D-9D5C-6D97042AC865}"/>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2 2 2" xfId="15614" xr:uid="{1FA642D3-A951-4807-80A2-AD53FE8331CB}"/>
    <cellStyle name="40% - Accent2 5 2 3" xfId="11401" xr:uid="{F35487D2-140F-4467-8867-AFD449E25DEE}"/>
    <cellStyle name="40% - Accent2 5 3" xfId="4974" xr:uid="{00000000-0005-0000-0000-0000F1040000}"/>
    <cellStyle name="40% - Accent2 5 3 2" xfId="13469" xr:uid="{EBBCBECE-4437-457F-9281-2FBFA3933C37}"/>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2 2 2" xfId="16027" xr:uid="{B2CDB737-9DD7-41FF-9E73-6A0D23432A9D}"/>
    <cellStyle name="40% - Accent2 6 2 3" xfId="11814" xr:uid="{E57933AC-2C01-4F00-9092-044840C2B1A7}"/>
    <cellStyle name="40% - Accent2 6 3" xfId="5387" xr:uid="{00000000-0005-0000-0000-0000F5040000}"/>
    <cellStyle name="40% - Accent2 6 3 2" xfId="13882" xr:uid="{9D61F0C0-DC9D-4225-8F59-2C5BA846F66A}"/>
    <cellStyle name="40% - Accent2 6 4" xfId="9669" xr:uid="{4B60D8A0-1FD9-4797-9AA0-B833D5310120}"/>
    <cellStyle name="40% - Accent2 7" xfId="1493" xr:uid="{00000000-0005-0000-0000-0000F6040000}"/>
    <cellStyle name="40% - Accent2 7 2" xfId="3723" xr:uid="{00000000-0005-0000-0000-0000F7040000}"/>
    <cellStyle name="40% - Accent2 7 2 2" xfId="7945" xr:uid="{00000000-0005-0000-0000-0000F8040000}"/>
    <cellStyle name="40% - Accent2 7 2 2 2" xfId="16440" xr:uid="{4A6732AA-EA9E-4A35-9AA8-2973CEA0FA58}"/>
    <cellStyle name="40% - Accent2 7 2 3" xfId="12227" xr:uid="{87F7412E-3992-450F-B11E-FE93308FB7F1}"/>
    <cellStyle name="40% - Accent2 7 3" xfId="5800" xr:uid="{00000000-0005-0000-0000-0000F9040000}"/>
    <cellStyle name="40% - Accent2 7 3 2" xfId="14295" xr:uid="{84CD88B7-F623-437C-956F-53319E81040F}"/>
    <cellStyle name="40% - Accent2 7 4" xfId="10082" xr:uid="{19F4A64F-5BB3-4E66-8681-99C0C543830A}"/>
    <cellStyle name="40% - Accent2 8" xfId="1907" xr:uid="{00000000-0005-0000-0000-0000FA040000}"/>
    <cellStyle name="40% - Accent2 8 2" xfId="4136" xr:uid="{00000000-0005-0000-0000-0000FB040000}"/>
    <cellStyle name="40% - Accent2 8 2 2" xfId="8358" xr:uid="{00000000-0005-0000-0000-0000FC040000}"/>
    <cellStyle name="40% - Accent2 8 2 2 2" xfId="16853" xr:uid="{0C4BA505-654C-418E-8994-5A18C2BB3FFB}"/>
    <cellStyle name="40% - Accent2 8 2 3" xfId="12640" xr:uid="{AB32CE3A-E4AF-4010-82C8-CB29F2261F50}"/>
    <cellStyle name="40% - Accent2 8 3" xfId="6213" xr:uid="{00000000-0005-0000-0000-0000FD040000}"/>
    <cellStyle name="40% - Accent2 8 3 2" xfId="14708" xr:uid="{58341332-6E73-4A36-8910-503C086E8D09}"/>
    <cellStyle name="40% - Accent2 8 4" xfId="10495" xr:uid="{53B95D4A-C864-4355-9ABF-B2512DD95221}"/>
    <cellStyle name="40% - Accent2 9" xfId="2320" xr:uid="{00000000-0005-0000-0000-0000FE040000}"/>
    <cellStyle name="40% - Accent2 9 2" xfId="6626" xr:uid="{00000000-0005-0000-0000-0000FF040000}"/>
    <cellStyle name="40% - Accent2 9 2 2" xfId="15121" xr:uid="{82FF465D-9E32-4157-BBB6-9C1186F927B8}"/>
    <cellStyle name="40% - Accent2 9 3" xfId="10908" xr:uid="{5499A4B2-6AB2-4036-B444-4ED98C75F8D9}"/>
    <cellStyle name="40% - Accent3" xfId="65" builtinId="39" customBuiltin="1"/>
    <cellStyle name="40% - Accent3 10" xfId="4568" xr:uid="{00000000-0005-0000-0000-000001050000}"/>
    <cellStyle name="40% - Accent3 10 2" xfId="13064" xr:uid="{4E0AC6D7-07BC-4E9E-9CEA-8B18B6158749}"/>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625" xr:uid="{C14712D2-34EE-41F3-AF7B-86472E73ACE1}"/>
    <cellStyle name="40% - Accent3 2 2 2 2 2 3" xfId="11412" xr:uid="{281DA143-B9EC-4817-B5B9-977ABD52408F}"/>
    <cellStyle name="40% - Accent3 2 2 2 2 3" xfId="4985" xr:uid="{00000000-0005-0000-0000-000008050000}"/>
    <cellStyle name="40% - Accent3 2 2 2 2 3 2" xfId="13480" xr:uid="{F3C69775-BDB0-439F-862E-46B801ABD53B}"/>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038" xr:uid="{31930A80-7EE5-4176-A92B-AA33062AB5F8}"/>
    <cellStyle name="40% - Accent3 2 2 2 3 2 3" xfId="11825" xr:uid="{97DFD781-41D5-4EC6-989C-6903332CFF74}"/>
    <cellStyle name="40% - Accent3 2 2 2 3 3" xfId="5398" xr:uid="{00000000-0005-0000-0000-00000C050000}"/>
    <cellStyle name="40% - Accent3 2 2 2 3 3 2" xfId="13893" xr:uid="{B6269461-5AC2-4F4D-B2BA-B17A6D7F4524}"/>
    <cellStyle name="40% - Accent3 2 2 2 3 4" xfId="9680" xr:uid="{5C553324-28CB-4C18-BAF0-4CBDB106982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51" xr:uid="{2AD3766C-7DE7-42F1-BD81-D9E3DC9F5521}"/>
    <cellStyle name="40% - Accent3 2 2 2 4 2 3" xfId="12238" xr:uid="{1C5480FF-DC75-4B21-BE5B-FEFBCC6CC30E}"/>
    <cellStyle name="40% - Accent3 2 2 2 4 3" xfId="5811" xr:uid="{00000000-0005-0000-0000-000010050000}"/>
    <cellStyle name="40% - Accent3 2 2 2 4 3 2" xfId="14306" xr:uid="{F2582516-2DA4-44C1-A0A6-659CBC2061F4}"/>
    <cellStyle name="40% - Accent3 2 2 2 4 4" xfId="10093" xr:uid="{122ABC9C-E078-4253-94AB-1FD5182C555A}"/>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64" xr:uid="{4DCA9E7A-0CDD-4000-9E4C-76CEF534482E}"/>
    <cellStyle name="40% - Accent3 2 2 2 5 2 3" xfId="12651" xr:uid="{FDF6AF6E-D5E5-4247-8053-82C7F9AD9C5A}"/>
    <cellStyle name="40% - Accent3 2 2 2 5 3" xfId="6224" xr:uid="{00000000-0005-0000-0000-000014050000}"/>
    <cellStyle name="40% - Accent3 2 2 2 5 3 2" xfId="14719" xr:uid="{0A03DFDE-3010-4BB8-8B4D-EFC8B3AE603D}"/>
    <cellStyle name="40% - Accent3 2 2 2 5 4" xfId="10506" xr:uid="{AB460863-548B-41A9-A265-25BB45128D34}"/>
    <cellStyle name="40% - Accent3 2 2 2 6" xfId="2331" xr:uid="{00000000-0005-0000-0000-000015050000}"/>
    <cellStyle name="40% - Accent3 2 2 2 6 2" xfId="6637" xr:uid="{00000000-0005-0000-0000-000016050000}"/>
    <cellStyle name="40% - Accent3 2 2 2 6 2 2" xfId="15132" xr:uid="{CD27B471-EB69-42F0-9D4A-B00000FEF363}"/>
    <cellStyle name="40% - Accent3 2 2 2 6 3" xfId="10919" xr:uid="{5C2DF4A7-C644-4843-93F5-051C87B6C7F8}"/>
    <cellStyle name="40% - Accent3 2 2 2 7" xfId="4571" xr:uid="{00000000-0005-0000-0000-000017050000}"/>
    <cellStyle name="40% - Accent3 2 2 2 7 2" xfId="13067" xr:uid="{3BF61223-D4EC-4640-BA7E-4253D92C7FE3}"/>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624" xr:uid="{F33C1502-BC7E-4614-BB78-EBA75581860D}"/>
    <cellStyle name="40% - Accent3 2 2 3 2 3" xfId="11411" xr:uid="{37E311A2-2E2C-4CB5-B4BC-5C0B2D2F8D95}"/>
    <cellStyle name="40% - Accent3 2 2 3 3" xfId="4984" xr:uid="{00000000-0005-0000-0000-00001B050000}"/>
    <cellStyle name="40% - Accent3 2 2 3 3 2" xfId="13479" xr:uid="{D890ECEA-32A1-4A98-ADEC-835236059004}"/>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037" xr:uid="{6DDEEDF0-770C-4B31-A1EA-ED9C9CA447E7}"/>
    <cellStyle name="40% - Accent3 2 2 4 2 3" xfId="11824" xr:uid="{612D38E5-ECA5-4F28-88A9-E12955CFA1EF}"/>
    <cellStyle name="40% - Accent3 2 2 4 3" xfId="5397" xr:uid="{00000000-0005-0000-0000-00001F050000}"/>
    <cellStyle name="40% - Accent3 2 2 4 3 2" xfId="13892" xr:uid="{DF1D832C-EC24-4034-A191-1B41908A9CF2}"/>
    <cellStyle name="40% - Accent3 2 2 4 4" xfId="9679" xr:uid="{25D2774C-9C52-4493-B0F8-B6B4C9E14D0E}"/>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50" xr:uid="{2317BE39-3D3F-4263-AAF4-871ADD5F6BA9}"/>
    <cellStyle name="40% - Accent3 2 2 5 2 3" xfId="12237" xr:uid="{11DB04B9-997D-4D86-9C38-939339362EA4}"/>
    <cellStyle name="40% - Accent3 2 2 5 3" xfId="5810" xr:uid="{00000000-0005-0000-0000-000023050000}"/>
    <cellStyle name="40% - Accent3 2 2 5 3 2" xfId="14305" xr:uid="{2860A9FF-E087-433F-8C30-B86A050D2454}"/>
    <cellStyle name="40% - Accent3 2 2 5 4" xfId="10092" xr:uid="{7671FBC6-5D73-4D43-B5E4-F58A96E644C6}"/>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63" xr:uid="{D26EFB62-3C8D-4E0C-B39A-117261029AD9}"/>
    <cellStyle name="40% - Accent3 2 2 6 2 3" xfId="12650" xr:uid="{BD0BAA49-8AE1-408C-9FA8-65188FB6EF1B}"/>
    <cellStyle name="40% - Accent3 2 2 6 3" xfId="6223" xr:uid="{00000000-0005-0000-0000-000027050000}"/>
    <cellStyle name="40% - Accent3 2 2 6 3 2" xfId="14718" xr:uid="{4506AEF1-F51A-4B9D-B030-402363E7E3DE}"/>
    <cellStyle name="40% - Accent3 2 2 6 4" xfId="10505" xr:uid="{26513A7C-8FD3-4912-9AAB-931C91376BC8}"/>
    <cellStyle name="40% - Accent3 2 2 7" xfId="2330" xr:uid="{00000000-0005-0000-0000-000028050000}"/>
    <cellStyle name="40% - Accent3 2 2 7 2" xfId="6636" xr:uid="{00000000-0005-0000-0000-000029050000}"/>
    <cellStyle name="40% - Accent3 2 2 7 2 2" xfId="15131" xr:uid="{7A8D2E32-E269-4A63-A90B-9561D3AEB9BD}"/>
    <cellStyle name="40% - Accent3 2 2 7 3" xfId="10918" xr:uid="{2AE9D13F-E955-44E3-AF2E-E96B0D32E3FE}"/>
    <cellStyle name="40% - Accent3 2 2 8" xfId="4570" xr:uid="{00000000-0005-0000-0000-00002A050000}"/>
    <cellStyle name="40% - Accent3 2 2 8 2" xfId="13066" xr:uid="{D0A417BA-FD75-431C-9E0D-980CC3574B6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626" xr:uid="{543FBE59-10A4-441B-B460-8E013E6C5F0A}"/>
    <cellStyle name="40% - Accent3 2 3 2 2 3" xfId="11413" xr:uid="{AA1939AF-82A6-4FBF-BAB4-DCE50E08C85B}"/>
    <cellStyle name="40% - Accent3 2 3 2 3" xfId="4986" xr:uid="{00000000-0005-0000-0000-00002F050000}"/>
    <cellStyle name="40% - Accent3 2 3 2 3 2" xfId="13481" xr:uid="{05AF12F6-6495-43DB-98C8-9105A735ADE5}"/>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039" xr:uid="{D2C09447-05C1-42D7-AB05-54E74C12D660}"/>
    <cellStyle name="40% - Accent3 2 3 3 2 3" xfId="11826" xr:uid="{E9DA5089-30F2-44A3-8F10-CE7C2D2C21FC}"/>
    <cellStyle name="40% - Accent3 2 3 3 3" xfId="5399" xr:uid="{00000000-0005-0000-0000-000033050000}"/>
    <cellStyle name="40% - Accent3 2 3 3 3 2" xfId="13894" xr:uid="{E1BFF9A6-7D8D-424C-9377-B4CEC8FC9F24}"/>
    <cellStyle name="40% - Accent3 2 3 3 4" xfId="9681" xr:uid="{B55E3F2E-4B84-494F-A8F9-2AC6F33098C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52" xr:uid="{EC8B5265-D9DC-4D25-8CAA-A267A83EAD3F}"/>
    <cellStyle name="40% - Accent3 2 3 4 2 3" xfId="12239" xr:uid="{AA134842-2257-4C1D-A0CE-6AEE696CF5C0}"/>
    <cellStyle name="40% - Accent3 2 3 4 3" xfId="5812" xr:uid="{00000000-0005-0000-0000-000037050000}"/>
    <cellStyle name="40% - Accent3 2 3 4 3 2" xfId="14307" xr:uid="{0EA98FE3-23D5-41F8-BD9A-F63744D5E59B}"/>
    <cellStyle name="40% - Accent3 2 3 4 4" xfId="10094" xr:uid="{4E8B8DE4-F937-4DB5-9A82-1A6E0AE7F98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65" xr:uid="{662C1C46-4073-44F4-B22C-CC88163B194C}"/>
    <cellStyle name="40% - Accent3 2 3 5 2 3" xfId="12652" xr:uid="{D6597905-5FCB-461C-96E9-5021322A9F46}"/>
    <cellStyle name="40% - Accent3 2 3 5 3" xfId="6225" xr:uid="{00000000-0005-0000-0000-00003B050000}"/>
    <cellStyle name="40% - Accent3 2 3 5 3 2" xfId="14720" xr:uid="{932DA74D-FF21-4062-9400-6CB117BCB469}"/>
    <cellStyle name="40% - Accent3 2 3 5 4" xfId="10507" xr:uid="{4CED4C8E-7EF4-4786-8755-2F84522F27C1}"/>
    <cellStyle name="40% - Accent3 2 3 6" xfId="2332" xr:uid="{00000000-0005-0000-0000-00003C050000}"/>
    <cellStyle name="40% - Accent3 2 3 6 2" xfId="6638" xr:uid="{00000000-0005-0000-0000-00003D050000}"/>
    <cellStyle name="40% - Accent3 2 3 6 2 2" xfId="15133" xr:uid="{9187AC9C-362B-43B2-BD3B-B70E68ACE795}"/>
    <cellStyle name="40% - Accent3 2 3 6 3" xfId="10920" xr:uid="{FEC3B6C1-19E7-4B70-A882-8E64C29009FC}"/>
    <cellStyle name="40% - Accent3 2 3 7" xfId="4572" xr:uid="{00000000-0005-0000-0000-00003E050000}"/>
    <cellStyle name="40% - Accent3 2 3 7 2" xfId="13068" xr:uid="{A2FF6EDE-20AF-45EC-83B1-A23DFE81B3BD}"/>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2 2 2" xfId="15623" xr:uid="{47FB8E86-1F1D-421A-AB0E-A4117C35436B}"/>
    <cellStyle name="40% - Accent3 2 4 2 3" xfId="11410" xr:uid="{85619388-FAAB-4BAE-81F6-26A18ECF5224}"/>
    <cellStyle name="40% - Accent3 2 4 3" xfId="4983" xr:uid="{00000000-0005-0000-0000-000042050000}"/>
    <cellStyle name="40% - Accent3 2 4 3 2" xfId="13478" xr:uid="{E86BD8C7-8BB1-4DD5-B6D3-C9F320DFB00B}"/>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036" xr:uid="{EF045F27-665C-45B4-8F0C-9EDDDBDEDF48}"/>
    <cellStyle name="40% - Accent3 2 5 2 3" xfId="11823" xr:uid="{5BCB53A8-EAD6-45FE-BC55-D04FBE3BB4F1}"/>
    <cellStyle name="40% - Accent3 2 5 3" xfId="5396" xr:uid="{00000000-0005-0000-0000-000046050000}"/>
    <cellStyle name="40% - Accent3 2 5 3 2" xfId="13891" xr:uid="{E514F647-258F-44A1-AA8B-9A237966C0F9}"/>
    <cellStyle name="40% - Accent3 2 5 4" xfId="9678" xr:uid="{161D6611-5C41-40D2-8E74-7CC480014EDB}"/>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49" xr:uid="{31002E26-2332-44C8-93BB-452148BE80A3}"/>
    <cellStyle name="40% - Accent3 2 6 2 3" xfId="12236" xr:uid="{E16D8C6C-9736-4FA3-B962-E95E8B934B03}"/>
    <cellStyle name="40% - Accent3 2 6 3" xfId="5809" xr:uid="{00000000-0005-0000-0000-00004A050000}"/>
    <cellStyle name="40% - Accent3 2 6 3 2" xfId="14304" xr:uid="{00CBE07C-BD95-4C92-8AD2-3B9F5DC81F2C}"/>
    <cellStyle name="40% - Accent3 2 6 4" xfId="10091" xr:uid="{8CF86487-5FD1-49C7-AA72-793898B31D93}"/>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62" xr:uid="{441C5EEE-DEC9-44F6-8828-AD3326E28C38}"/>
    <cellStyle name="40% - Accent3 2 7 2 3" xfId="12649" xr:uid="{EE6DF3CC-D08F-4998-8133-C17A6E92EF70}"/>
    <cellStyle name="40% - Accent3 2 7 3" xfId="6222" xr:uid="{00000000-0005-0000-0000-00004E050000}"/>
    <cellStyle name="40% - Accent3 2 7 3 2" xfId="14717" xr:uid="{02402ED3-7093-4AB6-9F30-2DA11E185C91}"/>
    <cellStyle name="40% - Accent3 2 7 4" xfId="10504" xr:uid="{C82FEC9C-7CC4-4C14-ADCB-488065A5F766}"/>
    <cellStyle name="40% - Accent3 2 8" xfId="2329" xr:uid="{00000000-0005-0000-0000-00004F050000}"/>
    <cellStyle name="40% - Accent3 2 8 2" xfId="6635" xr:uid="{00000000-0005-0000-0000-000050050000}"/>
    <cellStyle name="40% - Accent3 2 8 2 2" xfId="15130" xr:uid="{02A063B0-BCDB-4153-BD35-6CE94E0D9B42}"/>
    <cellStyle name="40% - Accent3 2 8 3" xfId="10917" xr:uid="{56DE97DD-8CF0-4D57-9290-B9D821694EF7}"/>
    <cellStyle name="40% - Accent3 2 9" xfId="4569" xr:uid="{00000000-0005-0000-0000-000051050000}"/>
    <cellStyle name="40% - Accent3 2 9 2" xfId="13065" xr:uid="{BB8B43A0-EF88-428D-8F8A-6AD170F9B191}"/>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628" xr:uid="{C299F447-F460-446E-88EC-9CC8F8865869}"/>
    <cellStyle name="40% - Accent3 3 2 2 2 3" xfId="11415" xr:uid="{E767E4B3-21B8-4586-809E-7DECCBC7A74A}"/>
    <cellStyle name="40% - Accent3 3 2 2 3" xfId="4988" xr:uid="{00000000-0005-0000-0000-000057050000}"/>
    <cellStyle name="40% - Accent3 3 2 2 3 2" xfId="13483" xr:uid="{149BD16E-18FB-4ACF-8E4B-36EA6B0B9195}"/>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041" xr:uid="{AF44C1DA-A018-4A84-A408-F16FAB879F8A}"/>
    <cellStyle name="40% - Accent3 3 2 3 2 3" xfId="11828" xr:uid="{0E493B91-E416-421D-A195-717A9CB26409}"/>
    <cellStyle name="40% - Accent3 3 2 3 3" xfId="5401" xr:uid="{00000000-0005-0000-0000-00005B050000}"/>
    <cellStyle name="40% - Accent3 3 2 3 3 2" xfId="13896" xr:uid="{8CC0B6A9-BB3F-40B0-81ED-9212028766A5}"/>
    <cellStyle name="40% - Accent3 3 2 3 4" xfId="9683" xr:uid="{A09582C9-AF56-4C07-AE5A-3B20DCB1E0F1}"/>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54" xr:uid="{BA43DF15-1921-4F2B-8154-490B1E8ABF2C}"/>
    <cellStyle name="40% - Accent3 3 2 4 2 3" xfId="12241" xr:uid="{501C3DED-BF07-48A0-8D18-A6A574C9EC31}"/>
    <cellStyle name="40% - Accent3 3 2 4 3" xfId="5814" xr:uid="{00000000-0005-0000-0000-00005F050000}"/>
    <cellStyle name="40% - Accent3 3 2 4 3 2" xfId="14309" xr:uid="{F56B077A-A739-4C8B-B396-C03D0BDCFD19}"/>
    <cellStyle name="40% - Accent3 3 2 4 4" xfId="10096" xr:uid="{712B0AC4-869D-44CA-8C84-A71E918B869A}"/>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67" xr:uid="{7144ACC2-AF16-467F-855E-89C3A81FAF8A}"/>
    <cellStyle name="40% - Accent3 3 2 5 2 3" xfId="12654" xr:uid="{67AD2765-0423-4F82-A4E1-EF8F3DC8DCA2}"/>
    <cellStyle name="40% - Accent3 3 2 5 3" xfId="6227" xr:uid="{00000000-0005-0000-0000-000063050000}"/>
    <cellStyle name="40% - Accent3 3 2 5 3 2" xfId="14722" xr:uid="{8A508A6A-BA30-46B0-B7A1-D5961E036DBD}"/>
    <cellStyle name="40% - Accent3 3 2 5 4" xfId="10509" xr:uid="{6AD37451-BDDC-4858-98C7-4106C18B3EC9}"/>
    <cellStyle name="40% - Accent3 3 2 6" xfId="2334" xr:uid="{00000000-0005-0000-0000-000064050000}"/>
    <cellStyle name="40% - Accent3 3 2 6 2" xfId="6640" xr:uid="{00000000-0005-0000-0000-000065050000}"/>
    <cellStyle name="40% - Accent3 3 2 6 2 2" xfId="15135" xr:uid="{C9BC7544-EE19-4008-988A-28BFD76A16CF}"/>
    <cellStyle name="40% - Accent3 3 2 6 3" xfId="10922" xr:uid="{5E4D697B-6B75-4F6C-9598-3597E20A6AC4}"/>
    <cellStyle name="40% - Accent3 3 2 7" xfId="4574" xr:uid="{00000000-0005-0000-0000-000066050000}"/>
    <cellStyle name="40% - Accent3 3 2 7 2" xfId="13070" xr:uid="{B5F78798-BD2F-4FD0-8050-14F2F2A08C4B}"/>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2 2 2" xfId="15627" xr:uid="{6CFEDEBE-CE87-40FF-880C-FDD8E97E1DC1}"/>
    <cellStyle name="40% - Accent3 3 3 2 3" xfId="11414" xr:uid="{D9B38B16-47A9-4294-821D-70DB9F6A3E4F}"/>
    <cellStyle name="40% - Accent3 3 3 3" xfId="4987" xr:uid="{00000000-0005-0000-0000-00006A050000}"/>
    <cellStyle name="40% - Accent3 3 3 3 2" xfId="13482" xr:uid="{69DF1EC8-68BA-47E6-BA1C-0A219A0ED752}"/>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040" xr:uid="{386092ED-8131-4A2F-92B5-599B89799C81}"/>
    <cellStyle name="40% - Accent3 3 4 2 3" xfId="11827" xr:uid="{23AD31F2-55C6-4D5E-B038-7DD951D1441B}"/>
    <cellStyle name="40% - Accent3 3 4 3" xfId="5400" xr:uid="{00000000-0005-0000-0000-00006E050000}"/>
    <cellStyle name="40% - Accent3 3 4 3 2" xfId="13895" xr:uid="{93672E70-2B17-4BD3-920A-DAC477D703B7}"/>
    <cellStyle name="40% - Accent3 3 4 4" xfId="9682" xr:uid="{FA5872A6-5C7C-437C-86AA-8F09BD206669}"/>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53" xr:uid="{C7264D68-1C59-4EE7-B021-A13E9A5917E8}"/>
    <cellStyle name="40% - Accent3 3 5 2 3" xfId="12240" xr:uid="{330C3DC8-4B99-4D69-B1B0-8F999F03C8B4}"/>
    <cellStyle name="40% - Accent3 3 5 3" xfId="5813" xr:uid="{00000000-0005-0000-0000-000072050000}"/>
    <cellStyle name="40% - Accent3 3 5 3 2" xfId="14308" xr:uid="{CE0586E0-A8C5-4A3E-854A-F8E88614112B}"/>
    <cellStyle name="40% - Accent3 3 5 4" xfId="10095" xr:uid="{6CD23482-D5BB-4048-8892-605F7918679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66" xr:uid="{5B0BA971-423C-4C5A-A203-27E574AA0C58}"/>
    <cellStyle name="40% - Accent3 3 6 2 3" xfId="12653" xr:uid="{0B3FDCFD-D7AA-4048-AE97-57E712CAEB35}"/>
    <cellStyle name="40% - Accent3 3 6 3" xfId="6226" xr:uid="{00000000-0005-0000-0000-000076050000}"/>
    <cellStyle name="40% - Accent3 3 6 3 2" xfId="14721" xr:uid="{08776906-807C-4E47-8C79-78ED87846B40}"/>
    <cellStyle name="40% - Accent3 3 6 4" xfId="10508" xr:uid="{4CEB3B66-E6EC-4077-BA1C-FFF2FFD30B24}"/>
    <cellStyle name="40% - Accent3 3 7" xfId="2333" xr:uid="{00000000-0005-0000-0000-000077050000}"/>
    <cellStyle name="40% - Accent3 3 7 2" xfId="6639" xr:uid="{00000000-0005-0000-0000-000078050000}"/>
    <cellStyle name="40% - Accent3 3 7 2 2" xfId="15134" xr:uid="{22CFD0C9-C18E-4B5D-8B7B-670DFE6BFAD4}"/>
    <cellStyle name="40% - Accent3 3 7 3" xfId="10921" xr:uid="{35E30DFF-D478-408C-A698-CC746EB815E8}"/>
    <cellStyle name="40% - Accent3 3 8" xfId="4573" xr:uid="{00000000-0005-0000-0000-000079050000}"/>
    <cellStyle name="40% - Accent3 3 8 2" xfId="13069" xr:uid="{9E108F19-79F0-45FD-AD79-013DE432F5D1}"/>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629" xr:uid="{84572D8A-B739-4D6D-A6CE-0707C9B5D760}"/>
    <cellStyle name="40% - Accent3 4 2 2 3" xfId="11416" xr:uid="{51DCC171-60FD-4B3C-8C06-841F19BB36BE}"/>
    <cellStyle name="40% - Accent3 4 2 3" xfId="4989" xr:uid="{00000000-0005-0000-0000-00007E050000}"/>
    <cellStyle name="40% - Accent3 4 2 3 2" xfId="13484" xr:uid="{6184377B-DF51-4A28-9140-01D9B2E4228E}"/>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042" xr:uid="{014A938C-5E98-4757-AA64-7AABC2AC8760}"/>
    <cellStyle name="40% - Accent3 4 3 2 3" xfId="11829" xr:uid="{D9BFAEB8-171F-43C7-B4A1-1851FCDBEED8}"/>
    <cellStyle name="40% - Accent3 4 3 3" xfId="5402" xr:uid="{00000000-0005-0000-0000-000082050000}"/>
    <cellStyle name="40% - Accent3 4 3 3 2" xfId="13897" xr:uid="{A844AB75-4B8D-49B9-9375-F7E8C504C741}"/>
    <cellStyle name="40% - Accent3 4 3 4" xfId="9684" xr:uid="{055D7EA4-432F-437D-8C8F-908EED53D137}"/>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55" xr:uid="{6101A98D-3FAC-4FF2-A05E-6EA9E7D24A34}"/>
    <cellStyle name="40% - Accent3 4 4 2 3" xfId="12242" xr:uid="{0F683C82-73FB-4728-8E22-8FA4BB180A3D}"/>
    <cellStyle name="40% - Accent3 4 4 3" xfId="5815" xr:uid="{00000000-0005-0000-0000-000086050000}"/>
    <cellStyle name="40% - Accent3 4 4 3 2" xfId="14310" xr:uid="{C7B88A64-577C-4B56-AD2E-2A8BEF91D3C0}"/>
    <cellStyle name="40% - Accent3 4 4 4" xfId="10097" xr:uid="{F66594BE-4332-40F5-9338-481F052E74C3}"/>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68" xr:uid="{7E3E0ACB-0106-40B9-B1A9-8C2088B298AA}"/>
    <cellStyle name="40% - Accent3 4 5 2 3" xfId="12655" xr:uid="{2D9C927B-44EC-4D72-9E00-641F555453AA}"/>
    <cellStyle name="40% - Accent3 4 5 3" xfId="6228" xr:uid="{00000000-0005-0000-0000-00008A050000}"/>
    <cellStyle name="40% - Accent3 4 5 3 2" xfId="14723" xr:uid="{6979E6DC-E5A9-457C-BF87-91EA6BEAEA57}"/>
    <cellStyle name="40% - Accent3 4 5 4" xfId="10510" xr:uid="{E4969142-8DC7-47D3-BA7B-690F2D7940DF}"/>
    <cellStyle name="40% - Accent3 4 6" xfId="2335" xr:uid="{00000000-0005-0000-0000-00008B050000}"/>
    <cellStyle name="40% - Accent3 4 6 2" xfId="6641" xr:uid="{00000000-0005-0000-0000-00008C050000}"/>
    <cellStyle name="40% - Accent3 4 6 2 2" xfId="15136" xr:uid="{6A8EEBC3-CBF7-4A6A-9347-B9E1D19BEBF5}"/>
    <cellStyle name="40% - Accent3 4 6 3" xfId="10923" xr:uid="{99121AC7-DE93-49D7-BEA2-8FE34B969BCD}"/>
    <cellStyle name="40% - Accent3 4 7" xfId="4575" xr:uid="{00000000-0005-0000-0000-00008D050000}"/>
    <cellStyle name="40% - Accent3 4 7 2" xfId="13071" xr:uid="{7CAE3E0B-3B82-436B-9257-5F54945304D4}"/>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2 2 2" xfId="15622" xr:uid="{7BBB418D-BA8C-4155-927D-A54AF52C5B1D}"/>
    <cellStyle name="40% - Accent3 5 2 3" xfId="11409" xr:uid="{3D146758-4FE3-45FF-8651-BCD9FADBB29E}"/>
    <cellStyle name="40% - Accent3 5 3" xfId="4982" xr:uid="{00000000-0005-0000-0000-000091050000}"/>
    <cellStyle name="40% - Accent3 5 3 2" xfId="13477" xr:uid="{67AE9689-642F-4C6C-9F6B-A65480AF656A}"/>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2 2 2" xfId="16035" xr:uid="{0F82DEF7-B881-4FDA-8E8F-358906DE0362}"/>
    <cellStyle name="40% - Accent3 6 2 3" xfId="11822" xr:uid="{2D437CC6-7804-4F2B-8C5F-DC79AB82E175}"/>
    <cellStyle name="40% - Accent3 6 3" xfId="5395" xr:uid="{00000000-0005-0000-0000-000095050000}"/>
    <cellStyle name="40% - Accent3 6 3 2" xfId="13890" xr:uid="{AE37615A-3B20-4D31-B89A-79D05414032A}"/>
    <cellStyle name="40% - Accent3 6 4" xfId="9677" xr:uid="{B5B391B5-A17C-4EA1-8152-AE2E239C9EED}"/>
    <cellStyle name="40% - Accent3 7" xfId="1501" xr:uid="{00000000-0005-0000-0000-000096050000}"/>
    <cellStyle name="40% - Accent3 7 2" xfId="3731" xr:uid="{00000000-0005-0000-0000-000097050000}"/>
    <cellStyle name="40% - Accent3 7 2 2" xfId="7953" xr:uid="{00000000-0005-0000-0000-000098050000}"/>
    <cellStyle name="40% - Accent3 7 2 2 2" xfId="16448" xr:uid="{0B29F9B8-5BFF-4F71-A068-52C2A0DAEE45}"/>
    <cellStyle name="40% - Accent3 7 2 3" xfId="12235" xr:uid="{5070D1CB-52AF-4D0B-B8ED-E168E1021606}"/>
    <cellStyle name="40% - Accent3 7 3" xfId="5808" xr:uid="{00000000-0005-0000-0000-000099050000}"/>
    <cellStyle name="40% - Accent3 7 3 2" xfId="14303" xr:uid="{A5F44263-B393-4DB6-8958-CDB4E40B049B}"/>
    <cellStyle name="40% - Accent3 7 4" xfId="10090" xr:uid="{27F0D8F0-B5E3-475C-85E9-234807CF61B3}"/>
    <cellStyle name="40% - Accent3 8" xfId="1915" xr:uid="{00000000-0005-0000-0000-00009A050000}"/>
    <cellStyle name="40% - Accent3 8 2" xfId="4144" xr:uid="{00000000-0005-0000-0000-00009B050000}"/>
    <cellStyle name="40% - Accent3 8 2 2" xfId="8366" xr:uid="{00000000-0005-0000-0000-00009C050000}"/>
    <cellStyle name="40% - Accent3 8 2 2 2" xfId="16861" xr:uid="{FB7D8B94-6A87-4BDD-B231-58D90FD5908E}"/>
    <cellStyle name="40% - Accent3 8 2 3" xfId="12648" xr:uid="{B6BCFC4D-30B1-4515-BFF3-F8FFAA7A7871}"/>
    <cellStyle name="40% - Accent3 8 3" xfId="6221" xr:uid="{00000000-0005-0000-0000-00009D050000}"/>
    <cellStyle name="40% - Accent3 8 3 2" xfId="14716" xr:uid="{BF6D9F15-99FC-45DE-B6A7-0B67A7C5BEBE}"/>
    <cellStyle name="40% - Accent3 8 4" xfId="10503" xr:uid="{DE6379F6-8C35-48DE-A90E-9CE24D7D52A3}"/>
    <cellStyle name="40% - Accent3 9" xfId="2328" xr:uid="{00000000-0005-0000-0000-00009E050000}"/>
    <cellStyle name="40% - Accent3 9 2" xfId="6634" xr:uid="{00000000-0005-0000-0000-00009F050000}"/>
    <cellStyle name="40% - Accent3 9 2 2" xfId="15129" xr:uid="{34FA9C1E-98B0-44C8-A0B3-D9765AAEED8A}"/>
    <cellStyle name="40% - Accent3 9 3" xfId="10916" xr:uid="{A81C7F95-09CD-4FC9-B3C8-E903D6A7E574}"/>
    <cellStyle name="40% - Accent4" xfId="73" builtinId="43" customBuiltin="1"/>
    <cellStyle name="40% - Accent4 10" xfId="4576" xr:uid="{00000000-0005-0000-0000-0000A1050000}"/>
    <cellStyle name="40% - Accent4 10 2" xfId="13072" xr:uid="{996822F6-C104-4A4D-85BC-18027E1256C2}"/>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633" xr:uid="{89773936-8CE9-4EDF-AB26-CCCDCBCB554E}"/>
    <cellStyle name="40% - Accent4 2 2 2 2 2 3" xfId="11420" xr:uid="{DA686B0E-013A-4F0D-95F9-B8B7B0B21CFE}"/>
    <cellStyle name="40% - Accent4 2 2 2 2 3" xfId="4993" xr:uid="{00000000-0005-0000-0000-0000A8050000}"/>
    <cellStyle name="40% - Accent4 2 2 2 2 3 2" xfId="13488" xr:uid="{1F97A233-4BAF-47CC-8BD6-9951FBA43568}"/>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46" xr:uid="{947203AA-8BC3-4A54-AD23-5E725F713F62}"/>
    <cellStyle name="40% - Accent4 2 2 2 3 2 3" xfId="11833" xr:uid="{8CC4A953-380F-4EA9-A035-340244D95D98}"/>
    <cellStyle name="40% - Accent4 2 2 2 3 3" xfId="5406" xr:uid="{00000000-0005-0000-0000-0000AC050000}"/>
    <cellStyle name="40% - Accent4 2 2 2 3 3 2" xfId="13901" xr:uid="{EA53B36A-6490-4797-9660-7E0BEC9BF6D4}"/>
    <cellStyle name="40% - Accent4 2 2 2 3 4" xfId="9688" xr:uid="{A540711D-E2A4-465D-83F6-790038415F3C}"/>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59" xr:uid="{97B32ED5-6DCC-4F3F-B859-A213DA786610}"/>
    <cellStyle name="40% - Accent4 2 2 2 4 2 3" xfId="12246" xr:uid="{49FFB32F-1F47-4F84-93E5-C18051A7C462}"/>
    <cellStyle name="40% - Accent4 2 2 2 4 3" xfId="5819" xr:uid="{00000000-0005-0000-0000-0000B0050000}"/>
    <cellStyle name="40% - Accent4 2 2 2 4 3 2" xfId="14314" xr:uid="{686B6055-8B5E-4FAC-AD50-CCD921028DF4}"/>
    <cellStyle name="40% - Accent4 2 2 2 4 4" xfId="10101" xr:uid="{656B67E8-D1E3-4F01-9BE3-0D9F613640C4}"/>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72" xr:uid="{9D8A7456-F1C2-4B75-885E-AB460F45EC05}"/>
    <cellStyle name="40% - Accent4 2 2 2 5 2 3" xfId="12659" xr:uid="{F5264D22-7F34-4886-B0B4-FA3AB1223D66}"/>
    <cellStyle name="40% - Accent4 2 2 2 5 3" xfId="6232" xr:uid="{00000000-0005-0000-0000-0000B4050000}"/>
    <cellStyle name="40% - Accent4 2 2 2 5 3 2" xfId="14727" xr:uid="{2ECD56D0-3243-4841-BE8F-9E4DC10A022B}"/>
    <cellStyle name="40% - Accent4 2 2 2 5 4" xfId="10514" xr:uid="{93089156-7BB2-4147-8051-B1FE230F7EDC}"/>
    <cellStyle name="40% - Accent4 2 2 2 6" xfId="2339" xr:uid="{00000000-0005-0000-0000-0000B5050000}"/>
    <cellStyle name="40% - Accent4 2 2 2 6 2" xfId="6645" xr:uid="{00000000-0005-0000-0000-0000B6050000}"/>
    <cellStyle name="40% - Accent4 2 2 2 6 2 2" xfId="15140" xr:uid="{65480A99-2FAC-4535-8756-447578A15AC3}"/>
    <cellStyle name="40% - Accent4 2 2 2 6 3" xfId="10927" xr:uid="{883296D1-5964-4C5E-A272-9C1946ADC487}"/>
    <cellStyle name="40% - Accent4 2 2 2 7" xfId="4579" xr:uid="{00000000-0005-0000-0000-0000B7050000}"/>
    <cellStyle name="40% - Accent4 2 2 2 7 2" xfId="13075" xr:uid="{21725E3C-413D-4EC6-9C7B-6FAE3FEA19F6}"/>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632" xr:uid="{CE8EBBCB-5EA3-4E95-B008-A850E30C7912}"/>
    <cellStyle name="40% - Accent4 2 2 3 2 3" xfId="11419" xr:uid="{27D85E23-CA10-4DE4-AF78-D91F779ADFC9}"/>
    <cellStyle name="40% - Accent4 2 2 3 3" xfId="4992" xr:uid="{00000000-0005-0000-0000-0000BB050000}"/>
    <cellStyle name="40% - Accent4 2 2 3 3 2" xfId="13487" xr:uid="{0012EE9A-1F4A-4EAF-90F5-144178F0EADC}"/>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45" xr:uid="{79FC160E-7491-44AF-896A-4E8CE43EC4F2}"/>
    <cellStyle name="40% - Accent4 2 2 4 2 3" xfId="11832" xr:uid="{89900CB4-4395-4D0B-81F1-89DFA30E00FD}"/>
    <cellStyle name="40% - Accent4 2 2 4 3" xfId="5405" xr:uid="{00000000-0005-0000-0000-0000BF050000}"/>
    <cellStyle name="40% - Accent4 2 2 4 3 2" xfId="13900" xr:uid="{C7BE044B-5E4F-4EC7-B4AF-3C933187376B}"/>
    <cellStyle name="40% - Accent4 2 2 4 4" xfId="9687" xr:uid="{DEE9E415-0F9D-4694-AE15-F19BFF9EA6D1}"/>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58" xr:uid="{982AC110-F650-4155-BDE4-401DBBD54826}"/>
    <cellStyle name="40% - Accent4 2 2 5 2 3" xfId="12245" xr:uid="{3491F131-8957-49CF-9138-2CB0A0002E33}"/>
    <cellStyle name="40% - Accent4 2 2 5 3" xfId="5818" xr:uid="{00000000-0005-0000-0000-0000C3050000}"/>
    <cellStyle name="40% - Accent4 2 2 5 3 2" xfId="14313" xr:uid="{F3FB82C3-646C-45AC-8859-088109860EC0}"/>
    <cellStyle name="40% - Accent4 2 2 5 4" xfId="10100" xr:uid="{5435E8C0-21AD-433D-A36D-A1CF1F3F345C}"/>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71" xr:uid="{9B93DC00-C339-4D46-BDF6-BC426B74F25F}"/>
    <cellStyle name="40% - Accent4 2 2 6 2 3" xfId="12658" xr:uid="{0415E473-114D-4D32-B68C-887931B6C222}"/>
    <cellStyle name="40% - Accent4 2 2 6 3" xfId="6231" xr:uid="{00000000-0005-0000-0000-0000C7050000}"/>
    <cellStyle name="40% - Accent4 2 2 6 3 2" xfId="14726" xr:uid="{0D451975-86F3-4450-950D-F5202971BB63}"/>
    <cellStyle name="40% - Accent4 2 2 6 4" xfId="10513" xr:uid="{071CF0ED-E22F-4B12-9B2C-9DEDE6FAEBB2}"/>
    <cellStyle name="40% - Accent4 2 2 7" xfId="2338" xr:uid="{00000000-0005-0000-0000-0000C8050000}"/>
    <cellStyle name="40% - Accent4 2 2 7 2" xfId="6644" xr:uid="{00000000-0005-0000-0000-0000C9050000}"/>
    <cellStyle name="40% - Accent4 2 2 7 2 2" xfId="15139" xr:uid="{EF308D3F-E0F4-461A-83F5-485F373BBA5C}"/>
    <cellStyle name="40% - Accent4 2 2 7 3" xfId="10926" xr:uid="{F4B53954-84B1-41F4-BE05-A9403F054ED7}"/>
    <cellStyle name="40% - Accent4 2 2 8" xfId="4578" xr:uid="{00000000-0005-0000-0000-0000CA050000}"/>
    <cellStyle name="40% - Accent4 2 2 8 2" xfId="13074" xr:uid="{530671D7-0174-4934-B72B-21101B1FDEC5}"/>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634" xr:uid="{71C30CF8-9A49-4089-B454-99D592CA3057}"/>
    <cellStyle name="40% - Accent4 2 3 2 2 3" xfId="11421" xr:uid="{13DE1465-3F64-4252-B396-6853C6B3D36D}"/>
    <cellStyle name="40% - Accent4 2 3 2 3" xfId="4994" xr:uid="{00000000-0005-0000-0000-0000CF050000}"/>
    <cellStyle name="40% - Accent4 2 3 2 3 2" xfId="13489" xr:uid="{4FAAAABF-5A93-4FB8-A9EB-6F007214D5C2}"/>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47" xr:uid="{BAA46201-C6FF-4C94-8BBD-4BE461EF89E9}"/>
    <cellStyle name="40% - Accent4 2 3 3 2 3" xfId="11834" xr:uid="{3B0D0074-4D9B-40FA-90CB-57930E34CE3D}"/>
    <cellStyle name="40% - Accent4 2 3 3 3" xfId="5407" xr:uid="{00000000-0005-0000-0000-0000D3050000}"/>
    <cellStyle name="40% - Accent4 2 3 3 3 2" xfId="13902" xr:uid="{05D0FE80-71A2-4E23-99F6-AF49B126B603}"/>
    <cellStyle name="40% - Accent4 2 3 3 4" xfId="9689" xr:uid="{623CEB12-B793-4DED-832F-BBC1AD38738C}"/>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60" xr:uid="{F0B08E73-F8DD-44D5-9FF1-04C6869342AF}"/>
    <cellStyle name="40% - Accent4 2 3 4 2 3" xfId="12247" xr:uid="{F6B89517-CDDF-4D5C-B1AA-9E543B7189B9}"/>
    <cellStyle name="40% - Accent4 2 3 4 3" xfId="5820" xr:uid="{00000000-0005-0000-0000-0000D7050000}"/>
    <cellStyle name="40% - Accent4 2 3 4 3 2" xfId="14315" xr:uid="{AB5B9FCD-BA58-457B-9254-9F0ED0B517BA}"/>
    <cellStyle name="40% - Accent4 2 3 4 4" xfId="10102" xr:uid="{DAA63443-1CA5-45FE-81F6-536B7E141E09}"/>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73" xr:uid="{3F10BF09-2238-4542-B20D-4E751B8721AE}"/>
    <cellStyle name="40% - Accent4 2 3 5 2 3" xfId="12660" xr:uid="{60ACD8F7-3EFF-4769-8BBD-69527149FC01}"/>
    <cellStyle name="40% - Accent4 2 3 5 3" xfId="6233" xr:uid="{00000000-0005-0000-0000-0000DB050000}"/>
    <cellStyle name="40% - Accent4 2 3 5 3 2" xfId="14728" xr:uid="{2D089CE2-6A2D-476B-B9F5-03126DD4868D}"/>
    <cellStyle name="40% - Accent4 2 3 5 4" xfId="10515" xr:uid="{E89C0B57-F1DE-4984-B229-768C8B15D5DF}"/>
    <cellStyle name="40% - Accent4 2 3 6" xfId="2340" xr:uid="{00000000-0005-0000-0000-0000DC050000}"/>
    <cellStyle name="40% - Accent4 2 3 6 2" xfId="6646" xr:uid="{00000000-0005-0000-0000-0000DD050000}"/>
    <cellStyle name="40% - Accent4 2 3 6 2 2" xfId="15141" xr:uid="{39693233-5411-4851-8885-C70FD0298E12}"/>
    <cellStyle name="40% - Accent4 2 3 6 3" xfId="10928" xr:uid="{CC555A3E-C08E-4C34-8EB4-0672CD02FC46}"/>
    <cellStyle name="40% - Accent4 2 3 7" xfId="4580" xr:uid="{00000000-0005-0000-0000-0000DE050000}"/>
    <cellStyle name="40% - Accent4 2 3 7 2" xfId="13076" xr:uid="{C5E205B4-4831-4C82-9480-77EF80EDC291}"/>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2 2 2" xfId="15631" xr:uid="{6EDE3A5F-5606-481F-A7AE-797EB397C105}"/>
    <cellStyle name="40% - Accent4 2 4 2 3" xfId="11418" xr:uid="{A18BB841-0D89-4708-B9D8-3AECFF2546A7}"/>
    <cellStyle name="40% - Accent4 2 4 3" xfId="4991" xr:uid="{00000000-0005-0000-0000-0000E2050000}"/>
    <cellStyle name="40% - Accent4 2 4 3 2" xfId="13486" xr:uid="{EB07E5C2-A322-4E91-84E6-632A54B36D2A}"/>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044" xr:uid="{40991C29-16E7-4B37-9B8E-33F0A3667A17}"/>
    <cellStyle name="40% - Accent4 2 5 2 3" xfId="11831" xr:uid="{EC929F5F-699E-4F12-9975-DB9521E77B95}"/>
    <cellStyle name="40% - Accent4 2 5 3" xfId="5404" xr:uid="{00000000-0005-0000-0000-0000E6050000}"/>
    <cellStyle name="40% - Accent4 2 5 3 2" xfId="13899" xr:uid="{D11D2864-EFE2-4334-A98E-7DFFBB11E766}"/>
    <cellStyle name="40% - Accent4 2 5 4" xfId="9686" xr:uid="{DD81C0FA-8E60-46B2-A9DB-0BB1B17F56BB}"/>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57" xr:uid="{7EE401BC-0EAF-40AD-A9A2-565405676CCF}"/>
    <cellStyle name="40% - Accent4 2 6 2 3" xfId="12244" xr:uid="{AD2564ED-7519-4860-9FFF-FFD9DE8C15D3}"/>
    <cellStyle name="40% - Accent4 2 6 3" xfId="5817" xr:uid="{00000000-0005-0000-0000-0000EA050000}"/>
    <cellStyle name="40% - Accent4 2 6 3 2" xfId="14312" xr:uid="{04E4AD93-BC7E-43F9-BFBE-267CD95C92CF}"/>
    <cellStyle name="40% - Accent4 2 6 4" xfId="10099" xr:uid="{52A39841-8619-432A-88ED-431888C9C89D}"/>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70" xr:uid="{2C07C45E-CC82-4205-984C-B8B5065CE535}"/>
    <cellStyle name="40% - Accent4 2 7 2 3" xfId="12657" xr:uid="{8F385308-3D7F-4AF3-B0A9-541B016EC1A6}"/>
    <cellStyle name="40% - Accent4 2 7 3" xfId="6230" xr:uid="{00000000-0005-0000-0000-0000EE050000}"/>
    <cellStyle name="40% - Accent4 2 7 3 2" xfId="14725" xr:uid="{C4D0AC9B-C4D0-4CD7-A00F-611E8CE43FFA}"/>
    <cellStyle name="40% - Accent4 2 7 4" xfId="10512" xr:uid="{19665985-7FD3-4847-87C4-0C36DF444EBE}"/>
    <cellStyle name="40% - Accent4 2 8" xfId="2337" xr:uid="{00000000-0005-0000-0000-0000EF050000}"/>
    <cellStyle name="40% - Accent4 2 8 2" xfId="6643" xr:uid="{00000000-0005-0000-0000-0000F0050000}"/>
    <cellStyle name="40% - Accent4 2 8 2 2" xfId="15138" xr:uid="{71C65347-A773-4530-BA9D-561C7C25E02B}"/>
    <cellStyle name="40% - Accent4 2 8 3" xfId="10925" xr:uid="{326DF2A6-273B-4553-A42A-7FF3F69D5DFF}"/>
    <cellStyle name="40% - Accent4 2 9" xfId="4577" xr:uid="{00000000-0005-0000-0000-0000F1050000}"/>
    <cellStyle name="40% - Accent4 2 9 2" xfId="13073" xr:uid="{832D82C0-8DF0-4A42-8215-EC2843188896}"/>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636" xr:uid="{7000A7DC-D955-45F8-BF0F-C84DA55837E5}"/>
    <cellStyle name="40% - Accent4 3 2 2 2 3" xfId="11423" xr:uid="{B6700FBE-691D-44D1-B0E3-94338B49F15F}"/>
    <cellStyle name="40% - Accent4 3 2 2 3" xfId="4996" xr:uid="{00000000-0005-0000-0000-0000F7050000}"/>
    <cellStyle name="40% - Accent4 3 2 2 3 2" xfId="13491" xr:uid="{A3F2404D-89F3-4E7D-A47F-5612CEFFA90B}"/>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49" xr:uid="{6F83A8B3-E621-45FA-9087-90D0FDA8AF6A}"/>
    <cellStyle name="40% - Accent4 3 2 3 2 3" xfId="11836" xr:uid="{D24512B1-992A-4352-838E-7AFD26ECF7C6}"/>
    <cellStyle name="40% - Accent4 3 2 3 3" xfId="5409" xr:uid="{00000000-0005-0000-0000-0000FB050000}"/>
    <cellStyle name="40% - Accent4 3 2 3 3 2" xfId="13904" xr:uid="{55EB58AB-C998-436C-BA47-A1693B1C16CC}"/>
    <cellStyle name="40% - Accent4 3 2 3 4" xfId="9691" xr:uid="{7193E0C1-1150-4CC6-879A-E78F0DBB3A10}"/>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62" xr:uid="{6910C46B-9DC6-459E-9AA8-D11DC4516C4E}"/>
    <cellStyle name="40% - Accent4 3 2 4 2 3" xfId="12249" xr:uid="{C495311F-81C0-4242-9241-B0B30D129D4E}"/>
    <cellStyle name="40% - Accent4 3 2 4 3" xfId="5822" xr:uid="{00000000-0005-0000-0000-0000FF050000}"/>
    <cellStyle name="40% - Accent4 3 2 4 3 2" xfId="14317" xr:uid="{B4F8350C-8331-4E8B-90F3-81C115839797}"/>
    <cellStyle name="40% - Accent4 3 2 4 4" xfId="10104" xr:uid="{6C58CB05-4481-48B0-91B5-EB510A9CBE4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75" xr:uid="{6FB40758-31C5-49A0-96C1-A5C5CBFD6086}"/>
    <cellStyle name="40% - Accent4 3 2 5 2 3" xfId="12662" xr:uid="{AFDF2A7E-E481-45B5-9C5C-02953EC3EC92}"/>
    <cellStyle name="40% - Accent4 3 2 5 3" xfId="6235" xr:uid="{00000000-0005-0000-0000-000003060000}"/>
    <cellStyle name="40% - Accent4 3 2 5 3 2" xfId="14730" xr:uid="{5FCF98FA-C4E4-4959-81C7-D622F65AD370}"/>
    <cellStyle name="40% - Accent4 3 2 5 4" xfId="10517" xr:uid="{668849DA-3EFC-4D56-AA0B-868FC42F362E}"/>
    <cellStyle name="40% - Accent4 3 2 6" xfId="2342" xr:uid="{00000000-0005-0000-0000-000004060000}"/>
    <cellStyle name="40% - Accent4 3 2 6 2" xfId="6648" xr:uid="{00000000-0005-0000-0000-000005060000}"/>
    <cellStyle name="40% - Accent4 3 2 6 2 2" xfId="15143" xr:uid="{80518017-3A76-4D8B-B367-1CF9FA03B4A4}"/>
    <cellStyle name="40% - Accent4 3 2 6 3" xfId="10930" xr:uid="{EBAE7579-3D09-4AEE-92EB-ED8F1D195B7E}"/>
    <cellStyle name="40% - Accent4 3 2 7" xfId="4582" xr:uid="{00000000-0005-0000-0000-000006060000}"/>
    <cellStyle name="40% - Accent4 3 2 7 2" xfId="13078" xr:uid="{F5E4FDE9-5B17-4563-B65B-DC8627ECBAD3}"/>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2 2 2" xfId="15635" xr:uid="{2E732477-35BF-48B7-AFA5-3F481452D373}"/>
    <cellStyle name="40% - Accent4 3 3 2 3" xfId="11422" xr:uid="{8604F950-5B6C-4EED-A8CF-47AFD7F3AFAF}"/>
    <cellStyle name="40% - Accent4 3 3 3" xfId="4995" xr:uid="{00000000-0005-0000-0000-00000A060000}"/>
    <cellStyle name="40% - Accent4 3 3 3 2" xfId="13490" xr:uid="{7A650DDD-9641-40CD-90F0-6ECAC18938B7}"/>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48" xr:uid="{C1BA0E80-657B-4C1E-83F6-FAA216FF3D60}"/>
    <cellStyle name="40% - Accent4 3 4 2 3" xfId="11835" xr:uid="{182C6B7D-6BB5-4519-BD63-F27454D0357F}"/>
    <cellStyle name="40% - Accent4 3 4 3" xfId="5408" xr:uid="{00000000-0005-0000-0000-00000E060000}"/>
    <cellStyle name="40% - Accent4 3 4 3 2" xfId="13903" xr:uid="{1ABD646C-293F-4D07-A6FA-31F03FD16231}"/>
    <cellStyle name="40% - Accent4 3 4 4" xfId="9690" xr:uid="{B0D03D6C-78DC-4E96-8DE6-DF9CFA78B447}"/>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61" xr:uid="{94C3FADA-8B96-4A2B-8D6D-570653D888AF}"/>
    <cellStyle name="40% - Accent4 3 5 2 3" xfId="12248" xr:uid="{88C315DF-2AAE-411B-899D-048B43B74110}"/>
    <cellStyle name="40% - Accent4 3 5 3" xfId="5821" xr:uid="{00000000-0005-0000-0000-000012060000}"/>
    <cellStyle name="40% - Accent4 3 5 3 2" xfId="14316" xr:uid="{BACC5804-1484-4A1F-AEC6-E8E03581D264}"/>
    <cellStyle name="40% - Accent4 3 5 4" xfId="10103" xr:uid="{64BF2DCE-94CC-4FD3-901A-9C9036B6B50E}"/>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74" xr:uid="{90729690-9F6B-47EE-83D6-B2BA9601309E}"/>
    <cellStyle name="40% - Accent4 3 6 2 3" xfId="12661" xr:uid="{858C1D06-23EC-45AC-96C5-2F2DA87BF2EC}"/>
    <cellStyle name="40% - Accent4 3 6 3" xfId="6234" xr:uid="{00000000-0005-0000-0000-000016060000}"/>
    <cellStyle name="40% - Accent4 3 6 3 2" xfId="14729" xr:uid="{BA4848D3-4606-4831-A75A-C8BCCAF140EE}"/>
    <cellStyle name="40% - Accent4 3 6 4" xfId="10516" xr:uid="{38F996F8-ABD9-4CEF-AAB5-6D35CBB99B3F}"/>
    <cellStyle name="40% - Accent4 3 7" xfId="2341" xr:uid="{00000000-0005-0000-0000-000017060000}"/>
    <cellStyle name="40% - Accent4 3 7 2" xfId="6647" xr:uid="{00000000-0005-0000-0000-000018060000}"/>
    <cellStyle name="40% - Accent4 3 7 2 2" xfId="15142" xr:uid="{4A687AA2-D4D8-43CC-A680-A0113BF6067F}"/>
    <cellStyle name="40% - Accent4 3 7 3" xfId="10929" xr:uid="{A2521F8E-647A-4CE5-A774-8CCD56ED4DF3}"/>
    <cellStyle name="40% - Accent4 3 8" xfId="4581" xr:uid="{00000000-0005-0000-0000-000019060000}"/>
    <cellStyle name="40% - Accent4 3 8 2" xfId="13077" xr:uid="{F3E4C5E1-2B94-4885-9626-58A8E3DBE063}"/>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637" xr:uid="{3FAA77AF-840A-4B87-B9E2-60FA71B87CAD}"/>
    <cellStyle name="40% - Accent4 4 2 2 3" xfId="11424" xr:uid="{167AAEC5-105C-46CF-B3EC-CC69751293FE}"/>
    <cellStyle name="40% - Accent4 4 2 3" xfId="4997" xr:uid="{00000000-0005-0000-0000-00001E060000}"/>
    <cellStyle name="40% - Accent4 4 2 3 2" xfId="13492" xr:uid="{CBED3EE2-EA51-48C0-82F6-BB4997BCF039}"/>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50" xr:uid="{6CC7A531-4976-45F5-9821-980C60685DEB}"/>
    <cellStyle name="40% - Accent4 4 3 2 3" xfId="11837" xr:uid="{12CD4BBD-7339-4517-8E87-347405C7F9ED}"/>
    <cellStyle name="40% - Accent4 4 3 3" xfId="5410" xr:uid="{00000000-0005-0000-0000-000022060000}"/>
    <cellStyle name="40% - Accent4 4 3 3 2" xfId="13905" xr:uid="{23C03C7A-FB55-40E3-968F-409F8720D85A}"/>
    <cellStyle name="40% - Accent4 4 3 4" xfId="9692" xr:uid="{4100BDF4-E9F7-4D73-9E6E-C010223A304B}"/>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63" xr:uid="{C1803457-C2B9-45D4-BDF2-FCCB0333635F}"/>
    <cellStyle name="40% - Accent4 4 4 2 3" xfId="12250" xr:uid="{D99AEF5F-DDFA-43C0-80F3-9DF943B8DB00}"/>
    <cellStyle name="40% - Accent4 4 4 3" xfId="5823" xr:uid="{00000000-0005-0000-0000-000026060000}"/>
    <cellStyle name="40% - Accent4 4 4 3 2" xfId="14318" xr:uid="{255ABD70-92BC-4B6A-8EB2-48242295AFAB}"/>
    <cellStyle name="40% - Accent4 4 4 4" xfId="10105" xr:uid="{31F78688-9E41-4782-96B1-9A27A2AA9DD7}"/>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76" xr:uid="{18F8CA34-AC07-444F-8E25-2C2B02F0E2BB}"/>
    <cellStyle name="40% - Accent4 4 5 2 3" xfId="12663" xr:uid="{19D54536-96E8-4B7F-8722-BBC60C37F880}"/>
    <cellStyle name="40% - Accent4 4 5 3" xfId="6236" xr:uid="{00000000-0005-0000-0000-00002A060000}"/>
    <cellStyle name="40% - Accent4 4 5 3 2" xfId="14731" xr:uid="{C46F4807-2CC5-48E7-BE73-E54AE49EF169}"/>
    <cellStyle name="40% - Accent4 4 5 4" xfId="10518" xr:uid="{9989EEDC-BF8A-49C9-A3C4-0DBAE5AF0A71}"/>
    <cellStyle name="40% - Accent4 4 6" xfId="2343" xr:uid="{00000000-0005-0000-0000-00002B060000}"/>
    <cellStyle name="40% - Accent4 4 6 2" xfId="6649" xr:uid="{00000000-0005-0000-0000-00002C060000}"/>
    <cellStyle name="40% - Accent4 4 6 2 2" xfId="15144" xr:uid="{758417F3-82F4-40B8-95C5-CF3E57280B18}"/>
    <cellStyle name="40% - Accent4 4 6 3" xfId="10931" xr:uid="{40CA3309-8B5B-4B81-BA5D-49D96729BE9B}"/>
    <cellStyle name="40% - Accent4 4 7" xfId="4583" xr:uid="{00000000-0005-0000-0000-00002D060000}"/>
    <cellStyle name="40% - Accent4 4 7 2" xfId="13079" xr:uid="{7D904E04-C872-4D47-B845-22847C45E524}"/>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2 2 2" xfId="15630" xr:uid="{257C20AF-1B29-46EA-AD74-B9AF28CE5C0F}"/>
    <cellStyle name="40% - Accent4 5 2 3" xfId="11417" xr:uid="{1C40C5D5-BD1F-453B-88F7-7E487B30180C}"/>
    <cellStyle name="40% - Accent4 5 3" xfId="4990" xr:uid="{00000000-0005-0000-0000-000031060000}"/>
    <cellStyle name="40% - Accent4 5 3 2" xfId="13485" xr:uid="{3A57298D-71F7-4409-8A19-95B420A29A0F}"/>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2 2 2" xfId="16043" xr:uid="{ED5288B7-14F8-4CB9-84BC-58A8A66BFBBF}"/>
    <cellStyle name="40% - Accent4 6 2 3" xfId="11830" xr:uid="{B2AC527F-081A-4B17-B9A4-E3F206E8A0B4}"/>
    <cellStyle name="40% - Accent4 6 3" xfId="5403" xr:uid="{00000000-0005-0000-0000-000035060000}"/>
    <cellStyle name="40% - Accent4 6 3 2" xfId="13898" xr:uid="{A57E8C7F-FE4D-47E9-BC79-CF86160176C4}"/>
    <cellStyle name="40% - Accent4 6 4" xfId="9685" xr:uid="{F72173E5-2A1D-4888-B318-A63D1340C474}"/>
    <cellStyle name="40% - Accent4 7" xfId="1509" xr:uid="{00000000-0005-0000-0000-000036060000}"/>
    <cellStyle name="40% - Accent4 7 2" xfId="3739" xr:uid="{00000000-0005-0000-0000-000037060000}"/>
    <cellStyle name="40% - Accent4 7 2 2" xfId="7961" xr:uid="{00000000-0005-0000-0000-000038060000}"/>
    <cellStyle name="40% - Accent4 7 2 2 2" xfId="16456" xr:uid="{C1438DD6-62FB-46BC-8768-2DE8CB717B48}"/>
    <cellStyle name="40% - Accent4 7 2 3" xfId="12243" xr:uid="{17AA2427-3D4C-4B18-A163-CC2106DDA113}"/>
    <cellStyle name="40% - Accent4 7 3" xfId="5816" xr:uid="{00000000-0005-0000-0000-000039060000}"/>
    <cellStyle name="40% - Accent4 7 3 2" xfId="14311" xr:uid="{05A4C18D-512F-4A1A-AA26-E206904BCBE8}"/>
    <cellStyle name="40% - Accent4 7 4" xfId="10098" xr:uid="{874E6045-E326-4BB5-B37C-FAB550F848DE}"/>
    <cellStyle name="40% - Accent4 8" xfId="1923" xr:uid="{00000000-0005-0000-0000-00003A060000}"/>
    <cellStyle name="40% - Accent4 8 2" xfId="4152" xr:uid="{00000000-0005-0000-0000-00003B060000}"/>
    <cellStyle name="40% - Accent4 8 2 2" xfId="8374" xr:uid="{00000000-0005-0000-0000-00003C060000}"/>
    <cellStyle name="40% - Accent4 8 2 2 2" xfId="16869" xr:uid="{D838B587-F231-4E8F-83DC-DBB2EE9384EF}"/>
    <cellStyle name="40% - Accent4 8 2 3" xfId="12656" xr:uid="{9AAC54CA-0BE1-4BD2-BA52-E11C0CA86105}"/>
    <cellStyle name="40% - Accent4 8 3" xfId="6229" xr:uid="{00000000-0005-0000-0000-00003D060000}"/>
    <cellStyle name="40% - Accent4 8 3 2" xfId="14724" xr:uid="{019AD981-D685-4D25-A296-B27CD25C7CF9}"/>
    <cellStyle name="40% - Accent4 8 4" xfId="10511" xr:uid="{2A17EC75-7657-454C-BF61-D4E708D7CC1F}"/>
    <cellStyle name="40% - Accent4 9" xfId="2336" xr:uid="{00000000-0005-0000-0000-00003E060000}"/>
    <cellStyle name="40% - Accent4 9 2" xfId="6642" xr:uid="{00000000-0005-0000-0000-00003F060000}"/>
    <cellStyle name="40% - Accent4 9 2 2" xfId="15137" xr:uid="{5F8D5DB3-FB2C-4486-9A74-9AF4FE4D896D}"/>
    <cellStyle name="40% - Accent4 9 3" xfId="10924" xr:uid="{B2111072-6730-4FF7-85FA-2349E3F8978F}"/>
    <cellStyle name="40% - Accent5" xfId="81" builtinId="47" customBuiltin="1"/>
    <cellStyle name="40% - Accent5 10" xfId="4584" xr:uid="{00000000-0005-0000-0000-000041060000}"/>
    <cellStyle name="40% - Accent5 10 2" xfId="13080" xr:uid="{CA60DAD2-8FCA-42A0-9870-C0E2640DA3C3}"/>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641" xr:uid="{502205B0-E7D3-48C5-B39B-A947C6734193}"/>
    <cellStyle name="40% - Accent5 2 2 2 2 2 3" xfId="11428" xr:uid="{A419534E-F629-45E4-8EEA-C4EBCE38BE3B}"/>
    <cellStyle name="40% - Accent5 2 2 2 2 3" xfId="5001" xr:uid="{00000000-0005-0000-0000-000048060000}"/>
    <cellStyle name="40% - Accent5 2 2 2 2 3 2" xfId="13496" xr:uid="{01008FC6-7BA6-44F5-A8F7-EA1F50560253}"/>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54" xr:uid="{4892EA72-9FA8-4FE2-BE67-16C901EAFBD6}"/>
    <cellStyle name="40% - Accent5 2 2 2 3 2 3" xfId="11841" xr:uid="{28274889-A8F6-4A2B-B849-01E72E77D6F0}"/>
    <cellStyle name="40% - Accent5 2 2 2 3 3" xfId="5414" xr:uid="{00000000-0005-0000-0000-00004C060000}"/>
    <cellStyle name="40% - Accent5 2 2 2 3 3 2" xfId="13909" xr:uid="{93CF8278-4C52-4E6D-94C7-6BB59B2DD90A}"/>
    <cellStyle name="40% - Accent5 2 2 2 3 4" xfId="9696" xr:uid="{E413A461-6D3F-45B7-9521-7BA4A3DA7665}"/>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67" xr:uid="{13339D27-ED99-4B44-BDB5-4D9A6922F468}"/>
    <cellStyle name="40% - Accent5 2 2 2 4 2 3" xfId="12254" xr:uid="{56C07D67-9150-4E6B-A177-9AA20EAD036E}"/>
    <cellStyle name="40% - Accent5 2 2 2 4 3" xfId="5827" xr:uid="{00000000-0005-0000-0000-000050060000}"/>
    <cellStyle name="40% - Accent5 2 2 2 4 3 2" xfId="14322" xr:uid="{3261E700-1B71-4C29-A76D-777B8E2C5EC3}"/>
    <cellStyle name="40% - Accent5 2 2 2 4 4" xfId="10109" xr:uid="{0815BC95-DB09-4AEC-B14C-8426B0391E8D}"/>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80" xr:uid="{A868AF5B-9061-4EBE-AEDC-F5DFB877C4C2}"/>
    <cellStyle name="40% - Accent5 2 2 2 5 2 3" xfId="12667" xr:uid="{9C3281AF-33EA-4FFF-9633-94D9174C6A7F}"/>
    <cellStyle name="40% - Accent5 2 2 2 5 3" xfId="6240" xr:uid="{00000000-0005-0000-0000-000054060000}"/>
    <cellStyle name="40% - Accent5 2 2 2 5 3 2" xfId="14735" xr:uid="{831BB856-76CB-4327-9D76-751F3A1AB17B}"/>
    <cellStyle name="40% - Accent5 2 2 2 5 4" xfId="10522" xr:uid="{9C2A43F2-BF4D-4721-98EF-8AB368E858B0}"/>
    <cellStyle name="40% - Accent5 2 2 2 6" xfId="2347" xr:uid="{00000000-0005-0000-0000-000055060000}"/>
    <cellStyle name="40% - Accent5 2 2 2 6 2" xfId="6653" xr:uid="{00000000-0005-0000-0000-000056060000}"/>
    <cellStyle name="40% - Accent5 2 2 2 6 2 2" xfId="15148" xr:uid="{7B35E3DA-CFD0-4DD5-910C-0E8F1CBF2E99}"/>
    <cellStyle name="40% - Accent5 2 2 2 6 3" xfId="10935" xr:uid="{218DC03F-C307-42C5-8CD1-565C34928070}"/>
    <cellStyle name="40% - Accent5 2 2 2 7" xfId="4587" xr:uid="{00000000-0005-0000-0000-000057060000}"/>
    <cellStyle name="40% - Accent5 2 2 2 7 2" xfId="13083" xr:uid="{4AD62A83-E287-4DEC-B270-444F88123F41}"/>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640" xr:uid="{34F399EC-CB46-4AEE-B682-1E037402A928}"/>
    <cellStyle name="40% - Accent5 2 2 3 2 3" xfId="11427" xr:uid="{4FAC33B8-6871-4FA7-A96E-05E7FD986C27}"/>
    <cellStyle name="40% - Accent5 2 2 3 3" xfId="5000" xr:uid="{00000000-0005-0000-0000-00005B060000}"/>
    <cellStyle name="40% - Accent5 2 2 3 3 2" xfId="13495" xr:uid="{2BCBBF90-B660-49F7-BACB-1E10C350BB9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53" xr:uid="{B354AFC6-24D0-41C1-A0E7-E7B8417C8CC8}"/>
    <cellStyle name="40% - Accent5 2 2 4 2 3" xfId="11840" xr:uid="{81DC3018-3492-44FA-B78D-D36B2ED445FA}"/>
    <cellStyle name="40% - Accent5 2 2 4 3" xfId="5413" xr:uid="{00000000-0005-0000-0000-00005F060000}"/>
    <cellStyle name="40% - Accent5 2 2 4 3 2" xfId="13908" xr:uid="{31250D59-81C1-4672-8A28-E769622842F6}"/>
    <cellStyle name="40% - Accent5 2 2 4 4" xfId="9695" xr:uid="{7718B0E6-6A2C-4D23-90FA-18BA4CAC7900}"/>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66" xr:uid="{967DF6A8-C7C2-4915-BEF5-87029958F379}"/>
    <cellStyle name="40% - Accent5 2 2 5 2 3" xfId="12253" xr:uid="{75CDDE2D-ACBE-4635-A3FE-801A9326A9A8}"/>
    <cellStyle name="40% - Accent5 2 2 5 3" xfId="5826" xr:uid="{00000000-0005-0000-0000-000063060000}"/>
    <cellStyle name="40% - Accent5 2 2 5 3 2" xfId="14321" xr:uid="{9494FBB4-2E89-4769-9F5C-1699B742A813}"/>
    <cellStyle name="40% - Accent5 2 2 5 4" xfId="10108" xr:uid="{AE108172-6296-48B0-9AD6-272E0810D99E}"/>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79" xr:uid="{FF3C86C8-16C1-4A96-9674-9A2C60D323E5}"/>
    <cellStyle name="40% - Accent5 2 2 6 2 3" xfId="12666" xr:uid="{C642BA21-FEF5-411C-97CD-64CE82347D9D}"/>
    <cellStyle name="40% - Accent5 2 2 6 3" xfId="6239" xr:uid="{00000000-0005-0000-0000-000067060000}"/>
    <cellStyle name="40% - Accent5 2 2 6 3 2" xfId="14734" xr:uid="{569F3B26-A361-494A-9121-64E12BCC6C6A}"/>
    <cellStyle name="40% - Accent5 2 2 6 4" xfId="10521" xr:uid="{8EDF99A8-9EF2-4135-83FC-326952766C7D}"/>
    <cellStyle name="40% - Accent5 2 2 7" xfId="2346" xr:uid="{00000000-0005-0000-0000-000068060000}"/>
    <cellStyle name="40% - Accent5 2 2 7 2" xfId="6652" xr:uid="{00000000-0005-0000-0000-000069060000}"/>
    <cellStyle name="40% - Accent5 2 2 7 2 2" xfId="15147" xr:uid="{AD966299-E759-4703-A136-44D607F1E037}"/>
    <cellStyle name="40% - Accent5 2 2 7 3" xfId="10934" xr:uid="{55EBF25E-C633-44DE-8084-F151C5998BD9}"/>
    <cellStyle name="40% - Accent5 2 2 8" xfId="4586" xr:uid="{00000000-0005-0000-0000-00006A060000}"/>
    <cellStyle name="40% - Accent5 2 2 8 2" xfId="13082" xr:uid="{CB4E2232-2550-4A42-9B5E-D7C1BEC0236B}"/>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642" xr:uid="{53EE4D68-FD86-4F5B-A35E-326E15DCA178}"/>
    <cellStyle name="40% - Accent5 2 3 2 2 3" xfId="11429" xr:uid="{D2919CE2-8B5C-4CD2-9872-65B2FE9D4682}"/>
    <cellStyle name="40% - Accent5 2 3 2 3" xfId="5002" xr:uid="{00000000-0005-0000-0000-00006F060000}"/>
    <cellStyle name="40% - Accent5 2 3 2 3 2" xfId="13497" xr:uid="{5D26AABA-6F67-4D00-9CB9-22DC9D3DE26A}"/>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55" xr:uid="{7FF03969-8668-4FE8-92A1-69BE37212F8A}"/>
    <cellStyle name="40% - Accent5 2 3 3 2 3" xfId="11842" xr:uid="{FB83C068-5091-452D-A8D0-B3EE4568FBCF}"/>
    <cellStyle name="40% - Accent5 2 3 3 3" xfId="5415" xr:uid="{00000000-0005-0000-0000-000073060000}"/>
    <cellStyle name="40% - Accent5 2 3 3 3 2" xfId="13910" xr:uid="{4009C5B4-3B1C-4E86-9D7A-394F3CED73D6}"/>
    <cellStyle name="40% - Accent5 2 3 3 4" xfId="9697" xr:uid="{0AD97B93-07C9-4D51-B857-6C5D2834B10A}"/>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68" xr:uid="{1ADC3C9D-2C90-434F-8965-27709141D23D}"/>
    <cellStyle name="40% - Accent5 2 3 4 2 3" xfId="12255" xr:uid="{839BDB34-4ECA-489C-81EF-F09E55603422}"/>
    <cellStyle name="40% - Accent5 2 3 4 3" xfId="5828" xr:uid="{00000000-0005-0000-0000-000077060000}"/>
    <cellStyle name="40% - Accent5 2 3 4 3 2" xfId="14323" xr:uid="{C3551651-EB6D-49D8-BCD5-98AEDF8117CF}"/>
    <cellStyle name="40% - Accent5 2 3 4 4" xfId="10110" xr:uid="{DAFBF628-33FF-4858-9704-6002B68A54A5}"/>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81" xr:uid="{23A27CAA-77F3-4BC0-80FB-0FA890FD948F}"/>
    <cellStyle name="40% - Accent5 2 3 5 2 3" xfId="12668" xr:uid="{FF4FDBDC-489B-4638-AEB3-2DBAA3EF4991}"/>
    <cellStyle name="40% - Accent5 2 3 5 3" xfId="6241" xr:uid="{00000000-0005-0000-0000-00007B060000}"/>
    <cellStyle name="40% - Accent5 2 3 5 3 2" xfId="14736" xr:uid="{7F2FD780-906D-4E7A-864F-35F0FBD937FA}"/>
    <cellStyle name="40% - Accent5 2 3 5 4" xfId="10523" xr:uid="{D78F7165-2948-4DA6-9FE7-D97B009484CC}"/>
    <cellStyle name="40% - Accent5 2 3 6" xfId="2348" xr:uid="{00000000-0005-0000-0000-00007C060000}"/>
    <cellStyle name="40% - Accent5 2 3 6 2" xfId="6654" xr:uid="{00000000-0005-0000-0000-00007D060000}"/>
    <cellStyle name="40% - Accent5 2 3 6 2 2" xfId="15149" xr:uid="{51F5A425-3A9E-457A-BCF2-50769180D0F9}"/>
    <cellStyle name="40% - Accent5 2 3 6 3" xfId="10936" xr:uid="{305CD66F-59F3-4B2D-8438-87E281507CEE}"/>
    <cellStyle name="40% - Accent5 2 3 7" xfId="4588" xr:uid="{00000000-0005-0000-0000-00007E060000}"/>
    <cellStyle name="40% - Accent5 2 3 7 2" xfId="13084" xr:uid="{32C8C272-71A9-416C-8BAB-DE1F969C1AED}"/>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2 2 2" xfId="15639" xr:uid="{9E60EB61-5175-4F9F-904A-F276AC8554AB}"/>
    <cellStyle name="40% - Accent5 2 4 2 3" xfId="11426" xr:uid="{517BA892-4A66-485A-8A68-7695578DB704}"/>
    <cellStyle name="40% - Accent5 2 4 3" xfId="4999" xr:uid="{00000000-0005-0000-0000-000082060000}"/>
    <cellStyle name="40% - Accent5 2 4 3 2" xfId="13494" xr:uid="{6768427A-F6AF-451F-8553-AA0BF42F4A88}"/>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52" xr:uid="{C16A0733-EC94-4799-8608-91A5AA844210}"/>
    <cellStyle name="40% - Accent5 2 5 2 3" xfId="11839" xr:uid="{E6201765-D8DC-4602-99F6-310AA46D6428}"/>
    <cellStyle name="40% - Accent5 2 5 3" xfId="5412" xr:uid="{00000000-0005-0000-0000-000086060000}"/>
    <cellStyle name="40% - Accent5 2 5 3 2" xfId="13907" xr:uid="{7E92BC91-42EE-4A64-846B-6A471788A979}"/>
    <cellStyle name="40% - Accent5 2 5 4" xfId="9694" xr:uid="{AB176675-E074-4373-B648-B5E0EC5F1DF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65" xr:uid="{D9191C13-4849-410F-BBB8-80CC20BC7110}"/>
    <cellStyle name="40% - Accent5 2 6 2 3" xfId="12252" xr:uid="{502E3E94-D126-421C-BBE0-B6504579D8BB}"/>
    <cellStyle name="40% - Accent5 2 6 3" xfId="5825" xr:uid="{00000000-0005-0000-0000-00008A060000}"/>
    <cellStyle name="40% - Accent5 2 6 3 2" xfId="14320" xr:uid="{679BE603-C71C-4357-98A5-4A0A0016188A}"/>
    <cellStyle name="40% - Accent5 2 6 4" xfId="10107" xr:uid="{9D2C7A7F-0E0D-4766-B1E4-23CF050FB2F2}"/>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78" xr:uid="{B85E14B2-5729-43C4-9B61-8C198053C069}"/>
    <cellStyle name="40% - Accent5 2 7 2 3" xfId="12665" xr:uid="{5EF177EE-28F0-468F-8519-9E7F69D3545E}"/>
    <cellStyle name="40% - Accent5 2 7 3" xfId="6238" xr:uid="{00000000-0005-0000-0000-00008E060000}"/>
    <cellStyle name="40% - Accent5 2 7 3 2" xfId="14733" xr:uid="{2EB848E0-A314-40E5-89B0-8B38F5FF4838}"/>
    <cellStyle name="40% - Accent5 2 7 4" xfId="10520" xr:uid="{1716E388-CCFD-475A-AF43-F806AFE3C02B}"/>
    <cellStyle name="40% - Accent5 2 8" xfId="2345" xr:uid="{00000000-0005-0000-0000-00008F060000}"/>
    <cellStyle name="40% - Accent5 2 8 2" xfId="6651" xr:uid="{00000000-0005-0000-0000-000090060000}"/>
    <cellStyle name="40% - Accent5 2 8 2 2" xfId="15146" xr:uid="{78F21909-DCA0-43C9-9B5A-EFE261E995FB}"/>
    <cellStyle name="40% - Accent5 2 8 3" xfId="10933" xr:uid="{7E6C9AFB-84B5-4976-BE52-5B64F22B5BB6}"/>
    <cellStyle name="40% - Accent5 2 9" xfId="4585" xr:uid="{00000000-0005-0000-0000-000091060000}"/>
    <cellStyle name="40% - Accent5 2 9 2" xfId="13081" xr:uid="{2BE8AC52-D9A9-48C2-8483-C4D64A09A7B1}"/>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644" xr:uid="{32EB36DA-E726-43BF-B64B-F1F12B2AC693}"/>
    <cellStyle name="40% - Accent5 3 2 2 2 3" xfId="11431" xr:uid="{DD2CA420-087B-4EF0-BB09-E2A6EB66990A}"/>
    <cellStyle name="40% - Accent5 3 2 2 3" xfId="5004" xr:uid="{00000000-0005-0000-0000-000097060000}"/>
    <cellStyle name="40% - Accent5 3 2 2 3 2" xfId="13499" xr:uid="{C1AA8A69-389F-4DFC-A462-E2F1159F88EA}"/>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57" xr:uid="{CC44E6D3-6A0B-4905-95AD-1EC0A89EFE19}"/>
    <cellStyle name="40% - Accent5 3 2 3 2 3" xfId="11844" xr:uid="{5393E768-62C0-4324-B662-4BC4732D9C29}"/>
    <cellStyle name="40% - Accent5 3 2 3 3" xfId="5417" xr:uid="{00000000-0005-0000-0000-00009B060000}"/>
    <cellStyle name="40% - Accent5 3 2 3 3 2" xfId="13912" xr:uid="{F04B9AFC-1AF8-492A-B5FF-70EF5CFA46B4}"/>
    <cellStyle name="40% - Accent5 3 2 3 4" xfId="9699" xr:uid="{2A07F818-024B-4213-968F-6DD763D6F99A}"/>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70" xr:uid="{E8478BBF-0C4E-4E35-A56E-7F7393DC3F1C}"/>
    <cellStyle name="40% - Accent5 3 2 4 2 3" xfId="12257" xr:uid="{7DC34307-2236-45C4-9523-00A5AE1C7E53}"/>
    <cellStyle name="40% - Accent5 3 2 4 3" xfId="5830" xr:uid="{00000000-0005-0000-0000-00009F060000}"/>
    <cellStyle name="40% - Accent5 3 2 4 3 2" xfId="14325" xr:uid="{978FA80B-24F3-4C10-AC60-1A3A81E616ED}"/>
    <cellStyle name="40% - Accent5 3 2 4 4" xfId="10112" xr:uid="{66829242-0B88-408D-A3C0-1A1E533249EE}"/>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83" xr:uid="{42F338B0-120C-45AE-9470-A12A8B2276B0}"/>
    <cellStyle name="40% - Accent5 3 2 5 2 3" xfId="12670" xr:uid="{16F9D528-6479-4F13-BBCA-FEA248C229A7}"/>
    <cellStyle name="40% - Accent5 3 2 5 3" xfId="6243" xr:uid="{00000000-0005-0000-0000-0000A3060000}"/>
    <cellStyle name="40% - Accent5 3 2 5 3 2" xfId="14738" xr:uid="{27267AFA-7AC6-4676-89BC-669D96CA92E4}"/>
    <cellStyle name="40% - Accent5 3 2 5 4" xfId="10525" xr:uid="{0DFF0E40-C774-4053-BE10-82857CCFAB7D}"/>
    <cellStyle name="40% - Accent5 3 2 6" xfId="2350" xr:uid="{00000000-0005-0000-0000-0000A4060000}"/>
    <cellStyle name="40% - Accent5 3 2 6 2" xfId="6656" xr:uid="{00000000-0005-0000-0000-0000A5060000}"/>
    <cellStyle name="40% - Accent5 3 2 6 2 2" xfId="15151" xr:uid="{63563E03-5D54-455F-A8BA-401F73E86C97}"/>
    <cellStyle name="40% - Accent5 3 2 6 3" xfId="10938" xr:uid="{3EB303A0-B48D-4A9C-A34B-7FAE207F9963}"/>
    <cellStyle name="40% - Accent5 3 2 7" xfId="4590" xr:uid="{00000000-0005-0000-0000-0000A6060000}"/>
    <cellStyle name="40% - Accent5 3 2 7 2" xfId="13086" xr:uid="{F5C4790A-8076-4921-B941-847D0240B493}"/>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2 2 2" xfId="15643" xr:uid="{536348DA-1C83-4B5B-BB00-2729FA0ADDEF}"/>
    <cellStyle name="40% - Accent5 3 3 2 3" xfId="11430" xr:uid="{D035997C-224D-4750-90F2-5D3D1707D8D3}"/>
    <cellStyle name="40% - Accent5 3 3 3" xfId="5003" xr:uid="{00000000-0005-0000-0000-0000AA060000}"/>
    <cellStyle name="40% - Accent5 3 3 3 2" xfId="13498" xr:uid="{EE2B5150-56E7-407E-8D74-BEDD3A3D2C7B}"/>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56" xr:uid="{2C6F32C1-C7CC-45B3-BAFD-CA3B0CCCBDD7}"/>
    <cellStyle name="40% - Accent5 3 4 2 3" xfId="11843" xr:uid="{36752010-0658-4CD8-AA85-78C2F8932FC4}"/>
    <cellStyle name="40% - Accent5 3 4 3" xfId="5416" xr:uid="{00000000-0005-0000-0000-0000AE060000}"/>
    <cellStyle name="40% - Accent5 3 4 3 2" xfId="13911" xr:uid="{3D865952-51F0-400D-B03E-74A97C29BA2F}"/>
    <cellStyle name="40% - Accent5 3 4 4" xfId="9698" xr:uid="{5218311E-38AD-4718-8D17-472701BC4277}"/>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69" xr:uid="{C7890375-3AA7-4BF7-8B39-6147E9A14AEB}"/>
    <cellStyle name="40% - Accent5 3 5 2 3" xfId="12256" xr:uid="{CCFFEF1A-A590-4F8F-A029-E35355AB7161}"/>
    <cellStyle name="40% - Accent5 3 5 3" xfId="5829" xr:uid="{00000000-0005-0000-0000-0000B2060000}"/>
    <cellStyle name="40% - Accent5 3 5 3 2" xfId="14324" xr:uid="{803B4F41-BBFE-4D5F-8245-BF6397E9519E}"/>
    <cellStyle name="40% - Accent5 3 5 4" xfId="10111" xr:uid="{553D1A1F-2029-4960-A346-0D8D912AAFA9}"/>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82" xr:uid="{E451E900-31D8-4A61-87A1-7CEC307F34E6}"/>
    <cellStyle name="40% - Accent5 3 6 2 3" xfId="12669" xr:uid="{E13C6408-C331-49EF-83B9-D1A5330200A2}"/>
    <cellStyle name="40% - Accent5 3 6 3" xfId="6242" xr:uid="{00000000-0005-0000-0000-0000B6060000}"/>
    <cellStyle name="40% - Accent5 3 6 3 2" xfId="14737" xr:uid="{749AA116-9B35-434D-9C28-0C63CB265B1E}"/>
    <cellStyle name="40% - Accent5 3 6 4" xfId="10524" xr:uid="{1CD7A5DB-0512-46DA-8D2F-36E956C06246}"/>
    <cellStyle name="40% - Accent5 3 7" xfId="2349" xr:uid="{00000000-0005-0000-0000-0000B7060000}"/>
    <cellStyle name="40% - Accent5 3 7 2" xfId="6655" xr:uid="{00000000-0005-0000-0000-0000B8060000}"/>
    <cellStyle name="40% - Accent5 3 7 2 2" xfId="15150" xr:uid="{BE0B1346-E4E0-42DC-A78F-4F2FAA193D29}"/>
    <cellStyle name="40% - Accent5 3 7 3" xfId="10937" xr:uid="{53C72A74-3E48-4270-B7D5-97E542CCD7A1}"/>
    <cellStyle name="40% - Accent5 3 8" xfId="4589" xr:uid="{00000000-0005-0000-0000-0000B9060000}"/>
    <cellStyle name="40% - Accent5 3 8 2" xfId="13085" xr:uid="{B804F08B-0152-4F5A-9BE9-E257635AA877}"/>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45" xr:uid="{44DE4C2E-7E24-4289-BFD5-CD015E9A2C78}"/>
    <cellStyle name="40% - Accent5 4 2 2 3" xfId="11432" xr:uid="{AFA06B95-4B35-4795-9FD1-1405BCE44237}"/>
    <cellStyle name="40% - Accent5 4 2 3" xfId="5005" xr:uid="{00000000-0005-0000-0000-0000BE060000}"/>
    <cellStyle name="40% - Accent5 4 2 3 2" xfId="13500" xr:uid="{41AE34C1-F50D-4792-B98D-20A4A5D7F31E}"/>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58" xr:uid="{56ED435B-C5FD-4803-A9C9-C1F48E97C332}"/>
    <cellStyle name="40% - Accent5 4 3 2 3" xfId="11845" xr:uid="{95F29008-4044-4F57-84A8-2FD371720781}"/>
    <cellStyle name="40% - Accent5 4 3 3" xfId="5418" xr:uid="{00000000-0005-0000-0000-0000C2060000}"/>
    <cellStyle name="40% - Accent5 4 3 3 2" xfId="13913" xr:uid="{FD090557-B0FD-4FCF-8EC1-2D80F8B30CBF}"/>
    <cellStyle name="40% - Accent5 4 3 4" xfId="9700" xr:uid="{19CFFD43-4A78-442E-92FA-E73E30673010}"/>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71" xr:uid="{5CF127D7-1BF3-42AE-9231-B65A22F6ABFB}"/>
    <cellStyle name="40% - Accent5 4 4 2 3" xfId="12258" xr:uid="{AE34254B-29EF-4E45-9789-6C93793041E8}"/>
    <cellStyle name="40% - Accent5 4 4 3" xfId="5831" xr:uid="{00000000-0005-0000-0000-0000C6060000}"/>
    <cellStyle name="40% - Accent5 4 4 3 2" xfId="14326" xr:uid="{3D6E6673-10B9-4A9B-B8C4-39A12149ADEF}"/>
    <cellStyle name="40% - Accent5 4 4 4" xfId="10113" xr:uid="{73358CA3-0DAD-47BE-B4D3-126BAD0E30B7}"/>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84" xr:uid="{1D342669-D694-4018-960E-B4C9E2F5F2D3}"/>
    <cellStyle name="40% - Accent5 4 5 2 3" xfId="12671" xr:uid="{9817ECEA-8D33-4C60-B2A1-A3AE145DA22B}"/>
    <cellStyle name="40% - Accent5 4 5 3" xfId="6244" xr:uid="{00000000-0005-0000-0000-0000CA060000}"/>
    <cellStyle name="40% - Accent5 4 5 3 2" xfId="14739" xr:uid="{1D28DDFC-1C28-4011-9FDD-BA00102000FB}"/>
    <cellStyle name="40% - Accent5 4 5 4" xfId="10526" xr:uid="{435B24C4-E082-4E33-AA3B-13D0B8F94C1A}"/>
    <cellStyle name="40% - Accent5 4 6" xfId="2351" xr:uid="{00000000-0005-0000-0000-0000CB060000}"/>
    <cellStyle name="40% - Accent5 4 6 2" xfId="6657" xr:uid="{00000000-0005-0000-0000-0000CC060000}"/>
    <cellStyle name="40% - Accent5 4 6 2 2" xfId="15152" xr:uid="{E1E5769F-D18B-48FB-8276-E0A9D3338270}"/>
    <cellStyle name="40% - Accent5 4 6 3" xfId="10939" xr:uid="{E2AFFF23-35D4-4883-B7F7-BA4C8582981E}"/>
    <cellStyle name="40% - Accent5 4 7" xfId="4591" xr:uid="{00000000-0005-0000-0000-0000CD060000}"/>
    <cellStyle name="40% - Accent5 4 7 2" xfId="13087" xr:uid="{AC4A55F9-804E-4571-BFAB-5C861A43FF59}"/>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2 2 2" xfId="15638" xr:uid="{DAC215CA-130D-41D6-AADF-DAB8755D4551}"/>
    <cellStyle name="40% - Accent5 5 2 3" xfId="11425" xr:uid="{43C38692-3B1E-4AD8-9BE8-1EA7A0328ACD}"/>
    <cellStyle name="40% - Accent5 5 3" xfId="4998" xr:uid="{00000000-0005-0000-0000-0000D1060000}"/>
    <cellStyle name="40% - Accent5 5 3 2" xfId="13493" xr:uid="{813DB1EE-49D6-4858-BE1C-C34D8E78AB33}"/>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2 2 2" xfId="16051" xr:uid="{392F0E04-CBCA-4AD9-84E2-50B32474E581}"/>
    <cellStyle name="40% - Accent5 6 2 3" xfId="11838" xr:uid="{66E81BFA-C8D3-4379-9778-5FCBC577A204}"/>
    <cellStyle name="40% - Accent5 6 3" xfId="5411" xr:uid="{00000000-0005-0000-0000-0000D5060000}"/>
    <cellStyle name="40% - Accent5 6 3 2" xfId="13906" xr:uid="{D157940D-C9CC-41FE-AD6D-2C26E0537EFB}"/>
    <cellStyle name="40% - Accent5 6 4" xfId="9693" xr:uid="{91548017-3CBD-4E11-8D29-834A7BE2860E}"/>
    <cellStyle name="40% - Accent5 7" xfId="1517" xr:uid="{00000000-0005-0000-0000-0000D6060000}"/>
    <cellStyle name="40% - Accent5 7 2" xfId="3747" xr:uid="{00000000-0005-0000-0000-0000D7060000}"/>
    <cellStyle name="40% - Accent5 7 2 2" xfId="7969" xr:uid="{00000000-0005-0000-0000-0000D8060000}"/>
    <cellStyle name="40% - Accent5 7 2 2 2" xfId="16464" xr:uid="{5A9A0A88-F602-4C54-BBA9-AA33108F936F}"/>
    <cellStyle name="40% - Accent5 7 2 3" xfId="12251" xr:uid="{7C386BAA-6DE2-491C-80EA-83BC63B407FA}"/>
    <cellStyle name="40% - Accent5 7 3" xfId="5824" xr:uid="{00000000-0005-0000-0000-0000D9060000}"/>
    <cellStyle name="40% - Accent5 7 3 2" xfId="14319" xr:uid="{976571D8-4BD0-4C8E-A3E6-825C2C1E303B}"/>
    <cellStyle name="40% - Accent5 7 4" xfId="10106" xr:uid="{723BFFEE-459C-48A1-886B-1CA0FCA08CC5}"/>
    <cellStyle name="40% - Accent5 8" xfId="1931" xr:uid="{00000000-0005-0000-0000-0000DA060000}"/>
    <cellStyle name="40% - Accent5 8 2" xfId="4160" xr:uid="{00000000-0005-0000-0000-0000DB060000}"/>
    <cellStyle name="40% - Accent5 8 2 2" xfId="8382" xr:uid="{00000000-0005-0000-0000-0000DC060000}"/>
    <cellStyle name="40% - Accent5 8 2 2 2" xfId="16877" xr:uid="{EE0960BF-0894-4C3B-9EC8-90E7C33BCE15}"/>
    <cellStyle name="40% - Accent5 8 2 3" xfId="12664" xr:uid="{D9B9F004-0905-4726-B281-1F31B424A5A7}"/>
    <cellStyle name="40% - Accent5 8 3" xfId="6237" xr:uid="{00000000-0005-0000-0000-0000DD060000}"/>
    <cellStyle name="40% - Accent5 8 3 2" xfId="14732" xr:uid="{484F9DFA-120F-4355-9A7C-B02EF32D7F95}"/>
    <cellStyle name="40% - Accent5 8 4" xfId="10519" xr:uid="{1EFC6669-9504-4445-8A55-89D1366782FC}"/>
    <cellStyle name="40% - Accent5 9" xfId="2344" xr:uid="{00000000-0005-0000-0000-0000DE060000}"/>
    <cellStyle name="40% - Accent5 9 2" xfId="6650" xr:uid="{00000000-0005-0000-0000-0000DF060000}"/>
    <cellStyle name="40% - Accent5 9 2 2" xfId="15145" xr:uid="{1D3245AB-F257-45AF-ACA0-2E1075F2B236}"/>
    <cellStyle name="40% - Accent5 9 3" xfId="10932" xr:uid="{593CAA16-35DC-422B-A7F8-D39794659EC3}"/>
    <cellStyle name="40% - Accent6" xfId="89" builtinId="51" customBuiltin="1"/>
    <cellStyle name="40% - Accent6 10" xfId="4592" xr:uid="{00000000-0005-0000-0000-0000E1060000}"/>
    <cellStyle name="40% - Accent6 10 2" xfId="13088" xr:uid="{0EFFFF48-4F81-45DC-98A3-24968ED6FA0E}"/>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49" xr:uid="{3DFD9E78-EEA0-4D1F-BF22-2BF6C9B10223}"/>
    <cellStyle name="40% - Accent6 2 2 2 2 2 3" xfId="11436" xr:uid="{1A3F9CCB-6D0D-46CB-9947-71977C22BA51}"/>
    <cellStyle name="40% - Accent6 2 2 2 2 3" xfId="5009" xr:uid="{00000000-0005-0000-0000-0000E8060000}"/>
    <cellStyle name="40% - Accent6 2 2 2 2 3 2" xfId="13504" xr:uid="{D32684E3-8B62-4657-9F96-579AA842C712}"/>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62" xr:uid="{807CD931-CA78-44E3-8FF4-F94FCD7E4EA7}"/>
    <cellStyle name="40% - Accent6 2 2 2 3 2 3" xfId="11849" xr:uid="{28C2EB85-CEA1-4DDA-AACD-63058DA03432}"/>
    <cellStyle name="40% - Accent6 2 2 2 3 3" xfId="5422" xr:uid="{00000000-0005-0000-0000-0000EC060000}"/>
    <cellStyle name="40% - Accent6 2 2 2 3 3 2" xfId="13917" xr:uid="{61FC79A9-57D9-47AA-8677-23A3D4DDE89C}"/>
    <cellStyle name="40% - Accent6 2 2 2 3 4" xfId="9704" xr:uid="{9E86DA8D-6045-4AA3-A229-0A6A6619D987}"/>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75" xr:uid="{D48BBA20-EDE4-4210-8FED-82F882C17483}"/>
    <cellStyle name="40% - Accent6 2 2 2 4 2 3" xfId="12262" xr:uid="{1FF802A1-C282-4248-A628-3A88ECEEA051}"/>
    <cellStyle name="40% - Accent6 2 2 2 4 3" xfId="5835" xr:uid="{00000000-0005-0000-0000-0000F0060000}"/>
    <cellStyle name="40% - Accent6 2 2 2 4 3 2" xfId="14330" xr:uid="{8929540A-C169-4B83-9D10-F41758C0D04F}"/>
    <cellStyle name="40% - Accent6 2 2 2 4 4" xfId="10117" xr:uid="{A063109F-EA58-445D-B906-FFD4444320D9}"/>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88" xr:uid="{1E22C325-FFEB-463C-BACC-F3CD305447A7}"/>
    <cellStyle name="40% - Accent6 2 2 2 5 2 3" xfId="12675" xr:uid="{BF17D293-B4CD-4287-908F-607543774423}"/>
    <cellStyle name="40% - Accent6 2 2 2 5 3" xfId="6248" xr:uid="{00000000-0005-0000-0000-0000F4060000}"/>
    <cellStyle name="40% - Accent6 2 2 2 5 3 2" xfId="14743" xr:uid="{C88E2AEC-9144-4BC0-B2D2-B83AC2D5C82B}"/>
    <cellStyle name="40% - Accent6 2 2 2 5 4" xfId="10530" xr:uid="{6889F12E-5DBD-4BEE-A383-1EEE786B7BBE}"/>
    <cellStyle name="40% - Accent6 2 2 2 6" xfId="2355" xr:uid="{00000000-0005-0000-0000-0000F5060000}"/>
    <cellStyle name="40% - Accent6 2 2 2 6 2" xfId="6661" xr:uid="{00000000-0005-0000-0000-0000F6060000}"/>
    <cellStyle name="40% - Accent6 2 2 2 6 2 2" xfId="15156" xr:uid="{9108645E-91BD-4EF5-A010-C57BE42BBE96}"/>
    <cellStyle name="40% - Accent6 2 2 2 6 3" xfId="10943" xr:uid="{CB54F472-06C8-4B13-BDEF-A91B07819ACD}"/>
    <cellStyle name="40% - Accent6 2 2 2 7" xfId="4595" xr:uid="{00000000-0005-0000-0000-0000F7060000}"/>
    <cellStyle name="40% - Accent6 2 2 2 7 2" xfId="13091" xr:uid="{ADC844BB-E5E0-4117-A056-D9050EE73315}"/>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48" xr:uid="{2DB6EE86-F0E0-4038-A869-6AC925522806}"/>
    <cellStyle name="40% - Accent6 2 2 3 2 3" xfId="11435" xr:uid="{A4A054B4-E7E4-4E5F-BA51-FADF24CC27B8}"/>
    <cellStyle name="40% - Accent6 2 2 3 3" xfId="5008" xr:uid="{00000000-0005-0000-0000-0000FB060000}"/>
    <cellStyle name="40% - Accent6 2 2 3 3 2" xfId="13503" xr:uid="{925AB693-F62C-4A28-AA3F-050E3009E7D3}"/>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61" xr:uid="{C21D3FFD-C7E8-4479-B275-EDC228F92C28}"/>
    <cellStyle name="40% - Accent6 2 2 4 2 3" xfId="11848" xr:uid="{431A52CE-D4EE-4647-83B4-F8B47417AD43}"/>
    <cellStyle name="40% - Accent6 2 2 4 3" xfId="5421" xr:uid="{00000000-0005-0000-0000-0000FF060000}"/>
    <cellStyle name="40% - Accent6 2 2 4 3 2" xfId="13916" xr:uid="{CCDE919B-49A7-4E40-8139-A5D7879B37B3}"/>
    <cellStyle name="40% - Accent6 2 2 4 4" xfId="9703" xr:uid="{8411B696-5769-40C9-B100-13E1BE020EC3}"/>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74" xr:uid="{B44DCE9B-7515-4513-9F85-8566CF13D7A0}"/>
    <cellStyle name="40% - Accent6 2 2 5 2 3" xfId="12261" xr:uid="{32CAF600-58B9-47DD-B57E-30E1763E026E}"/>
    <cellStyle name="40% - Accent6 2 2 5 3" xfId="5834" xr:uid="{00000000-0005-0000-0000-000003070000}"/>
    <cellStyle name="40% - Accent6 2 2 5 3 2" xfId="14329" xr:uid="{07E6C831-C712-4EAF-BBC4-B4D912553CF4}"/>
    <cellStyle name="40% - Accent6 2 2 5 4" xfId="10116" xr:uid="{868F1D8E-E425-4FC0-B5B8-5E6EB9CEA9A6}"/>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87" xr:uid="{A44A81C2-3E66-4DF2-82A5-5F885909B314}"/>
    <cellStyle name="40% - Accent6 2 2 6 2 3" xfId="12674" xr:uid="{E0F55CB9-7AAE-4428-AAE0-5B4A810C989E}"/>
    <cellStyle name="40% - Accent6 2 2 6 3" xfId="6247" xr:uid="{00000000-0005-0000-0000-000007070000}"/>
    <cellStyle name="40% - Accent6 2 2 6 3 2" xfId="14742" xr:uid="{DF96539B-D3F3-4B3B-9567-BD99885C9567}"/>
    <cellStyle name="40% - Accent6 2 2 6 4" xfId="10529" xr:uid="{D0062E3B-BD3B-49A3-95C2-78B16C11C828}"/>
    <cellStyle name="40% - Accent6 2 2 7" xfId="2354" xr:uid="{00000000-0005-0000-0000-000008070000}"/>
    <cellStyle name="40% - Accent6 2 2 7 2" xfId="6660" xr:uid="{00000000-0005-0000-0000-000009070000}"/>
    <cellStyle name="40% - Accent6 2 2 7 2 2" xfId="15155" xr:uid="{62C1D044-F7E7-4188-8DC3-379065E8ED80}"/>
    <cellStyle name="40% - Accent6 2 2 7 3" xfId="10942" xr:uid="{2C67CA4A-52BE-409D-A8F4-58AA0BAA0A8D}"/>
    <cellStyle name="40% - Accent6 2 2 8" xfId="4594" xr:uid="{00000000-0005-0000-0000-00000A070000}"/>
    <cellStyle name="40% - Accent6 2 2 8 2" xfId="13090" xr:uid="{F24F59DC-B3F9-4769-B344-1EB9E4667EB2}"/>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50" xr:uid="{373EFA6E-C245-4886-83D7-EB918EB361FB}"/>
    <cellStyle name="40% - Accent6 2 3 2 2 3" xfId="11437" xr:uid="{6BBA6BFB-1A95-478C-BFD9-11E7412D62BB}"/>
    <cellStyle name="40% - Accent6 2 3 2 3" xfId="5010" xr:uid="{00000000-0005-0000-0000-00000F070000}"/>
    <cellStyle name="40% - Accent6 2 3 2 3 2" xfId="13505" xr:uid="{891C67B4-C1C5-4527-9227-518ADFD1E553}"/>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63" xr:uid="{D30D75B0-46A4-4316-B813-2E080933474B}"/>
    <cellStyle name="40% - Accent6 2 3 3 2 3" xfId="11850" xr:uid="{FC65771D-E89D-49F7-B4F7-788367BD4953}"/>
    <cellStyle name="40% - Accent6 2 3 3 3" xfId="5423" xr:uid="{00000000-0005-0000-0000-000013070000}"/>
    <cellStyle name="40% - Accent6 2 3 3 3 2" xfId="13918" xr:uid="{CD19466D-6171-4A76-BFFF-3D351DBCDFD7}"/>
    <cellStyle name="40% - Accent6 2 3 3 4" xfId="9705" xr:uid="{5C32980C-DBB8-42BC-ABA6-96AA8A8301B7}"/>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76" xr:uid="{40B0A667-817D-4DFA-BF7F-DC5BD08047E7}"/>
    <cellStyle name="40% - Accent6 2 3 4 2 3" xfId="12263" xr:uid="{203B255C-28FB-4F9E-A84D-4E16CC53DB13}"/>
    <cellStyle name="40% - Accent6 2 3 4 3" xfId="5836" xr:uid="{00000000-0005-0000-0000-000017070000}"/>
    <cellStyle name="40% - Accent6 2 3 4 3 2" xfId="14331" xr:uid="{FD488EC9-14EC-4EB9-A3CE-623880C0B001}"/>
    <cellStyle name="40% - Accent6 2 3 4 4" xfId="10118" xr:uid="{DC781964-6529-4C11-AF77-5864A39E3EEA}"/>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89" xr:uid="{106085D9-74DF-4D20-A10B-67F5A0926895}"/>
    <cellStyle name="40% - Accent6 2 3 5 2 3" xfId="12676" xr:uid="{3E290A33-19B7-4B68-8E19-4780CFC174C0}"/>
    <cellStyle name="40% - Accent6 2 3 5 3" xfId="6249" xr:uid="{00000000-0005-0000-0000-00001B070000}"/>
    <cellStyle name="40% - Accent6 2 3 5 3 2" xfId="14744" xr:uid="{0927D7D4-CF85-432C-887E-F84CF3ADE139}"/>
    <cellStyle name="40% - Accent6 2 3 5 4" xfId="10531" xr:uid="{869AD638-5C8F-4C70-B9E8-402C912FA0F9}"/>
    <cellStyle name="40% - Accent6 2 3 6" xfId="2356" xr:uid="{00000000-0005-0000-0000-00001C070000}"/>
    <cellStyle name="40% - Accent6 2 3 6 2" xfId="6662" xr:uid="{00000000-0005-0000-0000-00001D070000}"/>
    <cellStyle name="40% - Accent6 2 3 6 2 2" xfId="15157" xr:uid="{D50F672D-AE7F-44F6-A923-4A02294828A1}"/>
    <cellStyle name="40% - Accent6 2 3 6 3" xfId="10944" xr:uid="{669FF73D-5DDB-4C3A-9D74-5AC589F7703C}"/>
    <cellStyle name="40% - Accent6 2 3 7" xfId="4596" xr:uid="{00000000-0005-0000-0000-00001E070000}"/>
    <cellStyle name="40% - Accent6 2 3 7 2" xfId="13092" xr:uid="{700BEB72-F0ED-4E5F-9280-AE91414E90FB}"/>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47" xr:uid="{08174C74-F525-4A0B-A0DC-56AD318D3B20}"/>
    <cellStyle name="40% - Accent6 2 4 2 3" xfId="11434" xr:uid="{34836A32-39F2-469F-B976-73237E6F5304}"/>
    <cellStyle name="40% - Accent6 2 4 3" xfId="5007" xr:uid="{00000000-0005-0000-0000-000022070000}"/>
    <cellStyle name="40% - Accent6 2 4 3 2" xfId="13502" xr:uid="{911AE044-3AC5-41EC-AFA0-BB06AE505B06}"/>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60" xr:uid="{5926E617-B65F-45DA-87BC-C684552B855F}"/>
    <cellStyle name="40% - Accent6 2 5 2 3" xfId="11847" xr:uid="{6A5CE94B-8D84-4BE4-ACE7-4A9178DCEECB}"/>
    <cellStyle name="40% - Accent6 2 5 3" xfId="5420" xr:uid="{00000000-0005-0000-0000-000026070000}"/>
    <cellStyle name="40% - Accent6 2 5 3 2" xfId="13915" xr:uid="{86802328-478A-475E-9366-03C01E6C5D49}"/>
    <cellStyle name="40% - Accent6 2 5 4" xfId="9702" xr:uid="{5EC731E9-FAAC-49F3-A64C-D038C9295474}"/>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73" xr:uid="{7C419830-117B-46C0-A2CD-4DFA2BEF4B9F}"/>
    <cellStyle name="40% - Accent6 2 6 2 3" xfId="12260" xr:uid="{6D9C8E38-5BF7-4E27-954F-AFDFE3B7831C}"/>
    <cellStyle name="40% - Accent6 2 6 3" xfId="5833" xr:uid="{00000000-0005-0000-0000-00002A070000}"/>
    <cellStyle name="40% - Accent6 2 6 3 2" xfId="14328" xr:uid="{B277DB19-4726-492C-9200-1F8E943BE848}"/>
    <cellStyle name="40% - Accent6 2 6 4" xfId="10115" xr:uid="{5671D74D-91C8-4249-B675-D4B5276C344C}"/>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86" xr:uid="{4BBC9870-7D64-446C-9446-4F1C957B4A04}"/>
    <cellStyle name="40% - Accent6 2 7 2 3" xfId="12673" xr:uid="{7F0616AE-067D-483B-B325-932849170771}"/>
    <cellStyle name="40% - Accent6 2 7 3" xfId="6246" xr:uid="{00000000-0005-0000-0000-00002E070000}"/>
    <cellStyle name="40% - Accent6 2 7 3 2" xfId="14741" xr:uid="{131DC43B-053E-43C1-8441-1AE56D570C3C}"/>
    <cellStyle name="40% - Accent6 2 7 4" xfId="10528" xr:uid="{A663E010-8063-4CE9-A39A-1917985A9DC3}"/>
    <cellStyle name="40% - Accent6 2 8" xfId="2353" xr:uid="{00000000-0005-0000-0000-00002F070000}"/>
    <cellStyle name="40% - Accent6 2 8 2" xfId="6659" xr:uid="{00000000-0005-0000-0000-000030070000}"/>
    <cellStyle name="40% - Accent6 2 8 2 2" xfId="15154" xr:uid="{D74D4E84-5804-4DD4-9045-D7822F78183B}"/>
    <cellStyle name="40% - Accent6 2 8 3" xfId="10941" xr:uid="{2CB8E3B3-C965-4A29-9238-BCCB7DD88329}"/>
    <cellStyle name="40% - Accent6 2 9" xfId="4593" xr:uid="{00000000-0005-0000-0000-000031070000}"/>
    <cellStyle name="40% - Accent6 2 9 2" xfId="13089" xr:uid="{75F426B2-6875-4F26-8E00-4067FF5DAF4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52" xr:uid="{14E0AC1E-61B4-4633-85C9-6B1A4A8983B0}"/>
    <cellStyle name="40% - Accent6 3 2 2 2 3" xfId="11439" xr:uid="{17392A78-8F48-4FB0-8954-F5B04A6829E2}"/>
    <cellStyle name="40% - Accent6 3 2 2 3" xfId="5012" xr:uid="{00000000-0005-0000-0000-000037070000}"/>
    <cellStyle name="40% - Accent6 3 2 2 3 2" xfId="13507" xr:uid="{342E0EB8-CCF8-453B-BD4F-AED63E693084}"/>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65" xr:uid="{17D6BE8A-2AC9-4CDC-93DE-5F89752559DF}"/>
    <cellStyle name="40% - Accent6 3 2 3 2 3" xfId="11852" xr:uid="{E541DF1A-E289-46D8-A03B-26EAD056EC49}"/>
    <cellStyle name="40% - Accent6 3 2 3 3" xfId="5425" xr:uid="{00000000-0005-0000-0000-00003B070000}"/>
    <cellStyle name="40% - Accent6 3 2 3 3 2" xfId="13920" xr:uid="{02E5CB15-D00B-457E-BC8E-126BE7644909}"/>
    <cellStyle name="40% - Accent6 3 2 3 4" xfId="9707" xr:uid="{680C6945-3776-48F9-9F8D-FE4298BB7F1B}"/>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78" xr:uid="{56882165-7724-44A8-B6C5-D674304F71EC}"/>
    <cellStyle name="40% - Accent6 3 2 4 2 3" xfId="12265" xr:uid="{F15296DF-4BDF-4119-8297-D85498CCEDC2}"/>
    <cellStyle name="40% - Accent6 3 2 4 3" xfId="5838" xr:uid="{00000000-0005-0000-0000-00003F070000}"/>
    <cellStyle name="40% - Accent6 3 2 4 3 2" xfId="14333" xr:uid="{C0FE88C1-7BCB-49C6-999A-95E3DE5B2CE9}"/>
    <cellStyle name="40% - Accent6 3 2 4 4" xfId="10120" xr:uid="{03A18450-6CC6-4E9B-8F58-BA3449D20021}"/>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91" xr:uid="{336427F1-7926-4A44-86EB-828526F6E522}"/>
    <cellStyle name="40% - Accent6 3 2 5 2 3" xfId="12678" xr:uid="{B68AE780-51DC-4813-B364-6DC5C1778F72}"/>
    <cellStyle name="40% - Accent6 3 2 5 3" xfId="6251" xr:uid="{00000000-0005-0000-0000-000043070000}"/>
    <cellStyle name="40% - Accent6 3 2 5 3 2" xfId="14746" xr:uid="{CFEAE31F-3EE8-476B-9329-E14B2EF9F21F}"/>
    <cellStyle name="40% - Accent6 3 2 5 4" xfId="10533" xr:uid="{A0B55CF9-1602-4B07-9599-59A3E0436DE6}"/>
    <cellStyle name="40% - Accent6 3 2 6" xfId="2358" xr:uid="{00000000-0005-0000-0000-000044070000}"/>
    <cellStyle name="40% - Accent6 3 2 6 2" xfId="6664" xr:uid="{00000000-0005-0000-0000-000045070000}"/>
    <cellStyle name="40% - Accent6 3 2 6 2 2" xfId="15159" xr:uid="{9430C445-26F5-4ABC-B423-C389CB523E93}"/>
    <cellStyle name="40% - Accent6 3 2 6 3" xfId="10946" xr:uid="{BE1F0677-5E21-4CC8-A6F0-1A9DD694E089}"/>
    <cellStyle name="40% - Accent6 3 2 7" xfId="4598" xr:uid="{00000000-0005-0000-0000-000046070000}"/>
    <cellStyle name="40% - Accent6 3 2 7 2" xfId="13094" xr:uid="{3F849C56-F1D9-4AE0-9951-B30087EA350A}"/>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51" xr:uid="{C80B6DB4-D017-415E-B10B-328D2D5A1A4A}"/>
    <cellStyle name="40% - Accent6 3 3 2 3" xfId="11438" xr:uid="{3B75AA70-130A-4745-8DD8-A4F775B3DAA9}"/>
    <cellStyle name="40% - Accent6 3 3 3" xfId="5011" xr:uid="{00000000-0005-0000-0000-00004A070000}"/>
    <cellStyle name="40% - Accent6 3 3 3 2" xfId="13506" xr:uid="{3AD38E2C-B3DF-4225-89A1-BC75CD54D85B}"/>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64" xr:uid="{7D1926AD-3346-409D-B183-885A50CE8602}"/>
    <cellStyle name="40% - Accent6 3 4 2 3" xfId="11851" xr:uid="{F461D1E4-09B8-4F88-B974-CEAA3D2DCAA5}"/>
    <cellStyle name="40% - Accent6 3 4 3" xfId="5424" xr:uid="{00000000-0005-0000-0000-00004E070000}"/>
    <cellStyle name="40% - Accent6 3 4 3 2" xfId="13919" xr:uid="{5EA65FC7-92B8-4136-822E-EF063DB5D0C6}"/>
    <cellStyle name="40% - Accent6 3 4 4" xfId="9706" xr:uid="{1AC4A444-996F-4044-97E2-2917D2F76E15}"/>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77" xr:uid="{C89AF88B-FAC2-49A1-8970-FF413C9CF8D2}"/>
    <cellStyle name="40% - Accent6 3 5 2 3" xfId="12264" xr:uid="{185467D9-2ACD-455F-B04F-0FE4A57C43BC}"/>
    <cellStyle name="40% - Accent6 3 5 3" xfId="5837" xr:uid="{00000000-0005-0000-0000-000052070000}"/>
    <cellStyle name="40% - Accent6 3 5 3 2" xfId="14332" xr:uid="{C88C20C4-923B-47CA-A47D-81D10A2B5032}"/>
    <cellStyle name="40% - Accent6 3 5 4" xfId="10119" xr:uid="{90DBAE58-65C5-42D7-AB34-85F68E440D20}"/>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90" xr:uid="{287E78CA-4F1F-4CE1-90C9-86F5B891E91D}"/>
    <cellStyle name="40% - Accent6 3 6 2 3" xfId="12677" xr:uid="{A0DD777F-9EAE-499E-8E53-96F347486E1E}"/>
    <cellStyle name="40% - Accent6 3 6 3" xfId="6250" xr:uid="{00000000-0005-0000-0000-000056070000}"/>
    <cellStyle name="40% - Accent6 3 6 3 2" xfId="14745" xr:uid="{6289375E-E345-4A2B-AFD1-BCBA22586AAF}"/>
    <cellStyle name="40% - Accent6 3 6 4" xfId="10532" xr:uid="{FE350A25-3059-4FEC-BD7E-E98412DCAB0E}"/>
    <cellStyle name="40% - Accent6 3 7" xfId="2357" xr:uid="{00000000-0005-0000-0000-000057070000}"/>
    <cellStyle name="40% - Accent6 3 7 2" xfId="6663" xr:uid="{00000000-0005-0000-0000-000058070000}"/>
    <cellStyle name="40% - Accent6 3 7 2 2" xfId="15158" xr:uid="{C12648AA-138A-4819-B7A0-1CCB08FF5750}"/>
    <cellStyle name="40% - Accent6 3 7 3" xfId="10945" xr:uid="{0BE78864-DFD0-4FC3-A068-D24C0C48C10A}"/>
    <cellStyle name="40% - Accent6 3 8" xfId="4597" xr:uid="{00000000-0005-0000-0000-000059070000}"/>
    <cellStyle name="40% - Accent6 3 8 2" xfId="13093" xr:uid="{7678F41A-69BA-4C78-AAD8-2D0CF9C8B8CD}"/>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53" xr:uid="{F04AD17D-63ED-4D2B-9096-EC08C373258A}"/>
    <cellStyle name="40% - Accent6 4 2 2 3" xfId="11440" xr:uid="{E9EB6B8C-871D-49FE-906F-7A2D08F5C45B}"/>
    <cellStyle name="40% - Accent6 4 2 3" xfId="5013" xr:uid="{00000000-0005-0000-0000-00005E070000}"/>
    <cellStyle name="40% - Accent6 4 2 3 2" xfId="13508" xr:uid="{7096ACEE-8E67-4311-9169-4A1A29FD3A8F}"/>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66" xr:uid="{EAE23FDC-AE5E-44CA-8988-FF3DB6ADDFA3}"/>
    <cellStyle name="40% - Accent6 4 3 2 3" xfId="11853" xr:uid="{80AEF269-2FA9-481D-A905-4A3503B02C5B}"/>
    <cellStyle name="40% - Accent6 4 3 3" xfId="5426" xr:uid="{00000000-0005-0000-0000-000062070000}"/>
    <cellStyle name="40% - Accent6 4 3 3 2" xfId="13921" xr:uid="{5AA4B0F2-1D8E-4B80-BEF6-C0EA005284FA}"/>
    <cellStyle name="40% - Accent6 4 3 4" xfId="9708" xr:uid="{0E7A737E-7A2C-46EB-930A-77994BDF7FBE}"/>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79" xr:uid="{07FA8A1C-F201-4FEC-9351-13B38DF8A21E}"/>
    <cellStyle name="40% - Accent6 4 4 2 3" xfId="12266" xr:uid="{B79EB0FD-DFC8-4441-B3AC-8FD3EB05169D}"/>
    <cellStyle name="40% - Accent6 4 4 3" xfId="5839" xr:uid="{00000000-0005-0000-0000-000066070000}"/>
    <cellStyle name="40% - Accent6 4 4 3 2" xfId="14334" xr:uid="{934D475E-9930-4141-8981-20A1268E7883}"/>
    <cellStyle name="40% - Accent6 4 4 4" xfId="10121" xr:uid="{49560981-8A82-40C8-B7DB-62586A87291E}"/>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92" xr:uid="{877CD9B4-E556-42CB-BD49-9413F6AA7432}"/>
    <cellStyle name="40% - Accent6 4 5 2 3" xfId="12679" xr:uid="{CDEFE531-A48A-48B9-8020-9E847A81A176}"/>
    <cellStyle name="40% - Accent6 4 5 3" xfId="6252" xr:uid="{00000000-0005-0000-0000-00006A070000}"/>
    <cellStyle name="40% - Accent6 4 5 3 2" xfId="14747" xr:uid="{223A9452-D722-45BD-AA45-5C2BAA05E783}"/>
    <cellStyle name="40% - Accent6 4 5 4" xfId="10534" xr:uid="{96ACDEB1-E760-4FC1-9A30-13240BBC7ADC}"/>
    <cellStyle name="40% - Accent6 4 6" xfId="2359" xr:uid="{00000000-0005-0000-0000-00006B070000}"/>
    <cellStyle name="40% - Accent6 4 6 2" xfId="6665" xr:uid="{00000000-0005-0000-0000-00006C070000}"/>
    <cellStyle name="40% - Accent6 4 6 2 2" xfId="15160" xr:uid="{A1731FD1-AAF8-4DE5-AE59-E32264AA6D04}"/>
    <cellStyle name="40% - Accent6 4 6 3" xfId="10947" xr:uid="{D2C76487-9A51-42F7-B4B3-B1A2B64880ED}"/>
    <cellStyle name="40% - Accent6 4 7" xfId="4599" xr:uid="{00000000-0005-0000-0000-00006D070000}"/>
    <cellStyle name="40% - Accent6 4 7 2" xfId="13095" xr:uid="{B70EF58C-D49F-45C2-A001-4252EA01AB4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2 2 2" xfId="15646" xr:uid="{82275AFA-C98B-49E1-BB46-943263B2815B}"/>
    <cellStyle name="40% - Accent6 5 2 3" xfId="11433" xr:uid="{BD51D6E5-0676-4D2D-BE9D-0770BA35C082}"/>
    <cellStyle name="40% - Accent6 5 3" xfId="5006" xr:uid="{00000000-0005-0000-0000-000071070000}"/>
    <cellStyle name="40% - Accent6 5 3 2" xfId="13501" xr:uid="{2BFD535B-8974-40E8-BCE7-FDC837F3E6E6}"/>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2 2 2" xfId="16059" xr:uid="{F4A38E9F-30C8-4380-9DAF-E35649E2BD8F}"/>
    <cellStyle name="40% - Accent6 6 2 3" xfId="11846" xr:uid="{FBC5136A-B841-4A7E-8FAF-D4B43E7C709C}"/>
    <cellStyle name="40% - Accent6 6 3" xfId="5419" xr:uid="{00000000-0005-0000-0000-000075070000}"/>
    <cellStyle name="40% - Accent6 6 3 2" xfId="13914" xr:uid="{4916A8EE-353F-467B-922F-6D8EDE81ACD0}"/>
    <cellStyle name="40% - Accent6 6 4" xfId="9701" xr:uid="{F0752CF2-B539-4D58-BEE0-A69925085BFD}"/>
    <cellStyle name="40% - Accent6 7" xfId="1525" xr:uid="{00000000-0005-0000-0000-000076070000}"/>
    <cellStyle name="40% - Accent6 7 2" xfId="3755" xr:uid="{00000000-0005-0000-0000-000077070000}"/>
    <cellStyle name="40% - Accent6 7 2 2" xfId="7977" xr:uid="{00000000-0005-0000-0000-000078070000}"/>
    <cellStyle name="40% - Accent6 7 2 2 2" xfId="16472" xr:uid="{B4B19954-9F33-45A4-A036-7D4A0DFCB6E9}"/>
    <cellStyle name="40% - Accent6 7 2 3" xfId="12259" xr:uid="{1AD3EA98-A383-434C-A50C-3928EAA6AF50}"/>
    <cellStyle name="40% - Accent6 7 3" xfId="5832" xr:uid="{00000000-0005-0000-0000-000079070000}"/>
    <cellStyle name="40% - Accent6 7 3 2" xfId="14327" xr:uid="{5DAF51AD-44A6-4583-B796-40120F7B2AFF}"/>
    <cellStyle name="40% - Accent6 7 4" xfId="10114" xr:uid="{BCF5446C-C4BB-4A66-9921-8D23961ECA0B}"/>
    <cellStyle name="40% - Accent6 8" xfId="1939" xr:uid="{00000000-0005-0000-0000-00007A070000}"/>
    <cellStyle name="40% - Accent6 8 2" xfId="4168" xr:uid="{00000000-0005-0000-0000-00007B070000}"/>
    <cellStyle name="40% - Accent6 8 2 2" xfId="8390" xr:uid="{00000000-0005-0000-0000-00007C070000}"/>
    <cellStyle name="40% - Accent6 8 2 2 2" xfId="16885" xr:uid="{71D48CC2-A52B-4518-AE99-2E908A98A506}"/>
    <cellStyle name="40% - Accent6 8 2 3" xfId="12672" xr:uid="{E5E4B414-BA19-405B-BE67-6973451B9CB0}"/>
    <cellStyle name="40% - Accent6 8 3" xfId="6245" xr:uid="{00000000-0005-0000-0000-00007D070000}"/>
    <cellStyle name="40% - Accent6 8 3 2" xfId="14740" xr:uid="{C272840B-807E-4713-9811-0E09DA1917CA}"/>
    <cellStyle name="40% - Accent6 8 4" xfId="10527" xr:uid="{A1580596-114A-437B-B06E-0E3C1CFBBA49}"/>
    <cellStyle name="40% - Accent6 9" xfId="2352" xr:uid="{00000000-0005-0000-0000-00007E070000}"/>
    <cellStyle name="40% - Accent6 9 2" xfId="6658" xr:uid="{00000000-0005-0000-0000-00007F070000}"/>
    <cellStyle name="40% - Accent6 9 2 2" xfId="15153" xr:uid="{C2CD1C01-FADD-46D4-B4C9-A79BB5BE033A}"/>
    <cellStyle name="40% - Accent6 9 3" xfId="10940" xr:uid="{1A21DFE7-49FC-4DAE-B60D-660B21880CF8}"/>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78" xr:uid="{9BBA9BDC-1A9C-44D6-AF9D-34FFF7356545}"/>
    <cellStyle name="Comma 4 2 2 2 10 3" xfId="11265" xr:uid="{1A238D46-61B6-40E9-8C2A-7F90A33A3F47}"/>
    <cellStyle name="Comma 4 2 2 2 11" xfId="4600" xr:uid="{00000000-0005-0000-0000-0000A3070000}"/>
    <cellStyle name="Comma 4 2 2 2 11 2" xfId="13096" xr:uid="{55BE4413-B31A-4C4F-AB4F-E495B734C21D}"/>
    <cellStyle name="Comma 4 2 2 2 12" xfId="8806" xr:uid="{6C773D0B-D2E3-4A8C-B041-8DA2843B9E25}"/>
    <cellStyle name="Comma 4 2 2 2 2" xfId="129" xr:uid="{00000000-0005-0000-0000-0000A4070000}"/>
    <cellStyle name="Comma 4 2 2 2 2 10" xfId="4601" xr:uid="{00000000-0005-0000-0000-0000A5070000}"/>
    <cellStyle name="Comma 4 2 2 2 2 10 2" xfId="13097" xr:uid="{DC7C5065-6026-4C67-8B7B-6CB06235D25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56" xr:uid="{08D65CF1-0D9B-42C5-8988-7CC4C366FACE}"/>
    <cellStyle name="Comma 4 2 2 2 2 2 2 2 3" xfId="11443" xr:uid="{E19BE395-59E5-4DFA-95CB-2E8B60B1C2DE}"/>
    <cellStyle name="Comma 4 2 2 2 2 2 2 3" xfId="5016" xr:uid="{00000000-0005-0000-0000-0000AA070000}"/>
    <cellStyle name="Comma 4 2 2 2 2 2 2 3 2" xfId="13511" xr:uid="{5A6E9140-D680-4FF0-9996-017B23C3E4F3}"/>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69" xr:uid="{76FC9824-A6A0-4F68-9FE8-9DE58558DC30}"/>
    <cellStyle name="Comma 4 2 2 2 2 2 3 2 3" xfId="11856" xr:uid="{4AB6E71A-6792-45FD-AF0A-F281297C0B5A}"/>
    <cellStyle name="Comma 4 2 2 2 2 2 3 3" xfId="5429" xr:uid="{00000000-0005-0000-0000-0000AE070000}"/>
    <cellStyle name="Comma 4 2 2 2 2 2 3 3 2" xfId="13924" xr:uid="{7891166F-BF74-4507-BDBD-300754C8D269}"/>
    <cellStyle name="Comma 4 2 2 2 2 2 3 4" xfId="9711" xr:uid="{584ADE97-4D8C-41B8-B8AF-059F0477DB2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82" xr:uid="{056BD9EB-3906-4023-AA3A-7F583A3D2A60}"/>
    <cellStyle name="Comma 4 2 2 2 2 2 4 2 3" xfId="12269" xr:uid="{B64322B5-47AB-4595-8A79-572E6EB255FD}"/>
    <cellStyle name="Comma 4 2 2 2 2 2 4 3" xfId="5842" xr:uid="{00000000-0005-0000-0000-0000B2070000}"/>
    <cellStyle name="Comma 4 2 2 2 2 2 4 3 2" xfId="14337" xr:uid="{84669DAE-24CD-46DE-9351-8948C029C787}"/>
    <cellStyle name="Comma 4 2 2 2 2 2 4 4" xfId="10124" xr:uid="{1CCBCD96-4DDE-4181-BA8C-32634D434DD7}"/>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95" xr:uid="{A6A62433-6143-42E5-8672-6359160CCC06}"/>
    <cellStyle name="Comma 4 2 2 2 2 2 5 2 3" xfId="12682" xr:uid="{490EF678-77EC-4DBD-A69A-109F5B8E5282}"/>
    <cellStyle name="Comma 4 2 2 2 2 2 5 3" xfId="6255" xr:uid="{00000000-0005-0000-0000-0000B6070000}"/>
    <cellStyle name="Comma 4 2 2 2 2 2 5 3 2" xfId="14750" xr:uid="{351F3086-B596-457C-80B7-5A711795CE3E}"/>
    <cellStyle name="Comma 4 2 2 2 2 2 5 4" xfId="10537" xr:uid="{02F78B6D-5238-45FF-9E4D-C0A151228A2F}"/>
    <cellStyle name="Comma 4 2 2 2 2 2 6" xfId="2384" xr:uid="{00000000-0005-0000-0000-0000B7070000}"/>
    <cellStyle name="Comma 4 2 2 2 2 2 6 2" xfId="6668" xr:uid="{00000000-0005-0000-0000-0000B8070000}"/>
    <cellStyle name="Comma 4 2 2 2 2 2 6 2 2" xfId="15163" xr:uid="{57A0B395-3AB0-4780-AA51-A0248A2EC430}"/>
    <cellStyle name="Comma 4 2 2 2 2 2 6 3" xfId="10950" xr:uid="{89D3CB44-9736-454C-90B7-6D40E5E6D94D}"/>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80" xr:uid="{3F2BB285-BC56-44F7-95A0-2DAACA52F069}"/>
    <cellStyle name="Comma 4 2 2 2 2 2 8 3" xfId="11267" xr:uid="{7BC32C70-1B2D-4F47-ADF5-BF20011BA9C3}"/>
    <cellStyle name="Comma 4 2 2 2 2 2 9" xfId="4602" xr:uid="{00000000-0005-0000-0000-0000BC070000}"/>
    <cellStyle name="Comma 4 2 2 2 2 2 9 2" xfId="13098" xr:uid="{3952305F-DF30-4327-AA98-488EDDAA0AB0}"/>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55" xr:uid="{3B3A4C12-8B11-4ED4-A40C-19E126A6246A}"/>
    <cellStyle name="Comma 4 2 2 2 2 3 2 3" xfId="11442" xr:uid="{C47FDB8C-91C9-4ED5-B06A-4828C9270407}"/>
    <cellStyle name="Comma 4 2 2 2 2 3 3" xfId="5015" xr:uid="{00000000-0005-0000-0000-0000C0070000}"/>
    <cellStyle name="Comma 4 2 2 2 2 3 3 2" xfId="13510" xr:uid="{E9952C60-4278-41DA-BE3E-3667C700919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68" xr:uid="{A3F8165B-1AB3-470C-9FBD-1CD9015965F3}"/>
    <cellStyle name="Comma 4 2 2 2 2 4 2 3" xfId="11855" xr:uid="{0561A838-795E-4640-BC53-8028AA412B7E}"/>
    <cellStyle name="Comma 4 2 2 2 2 4 3" xfId="5428" xr:uid="{00000000-0005-0000-0000-0000C4070000}"/>
    <cellStyle name="Comma 4 2 2 2 2 4 3 2" xfId="13923" xr:uid="{7FE58C53-8828-4A6C-A2C1-BFD8F96761D4}"/>
    <cellStyle name="Comma 4 2 2 2 2 4 4" xfId="9710" xr:uid="{2C8DA78B-677E-4FE0-9EF8-76B5960198AF}"/>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81" xr:uid="{681B32D1-1E70-4435-9E11-3775A716EB64}"/>
    <cellStyle name="Comma 4 2 2 2 2 5 2 3" xfId="12268" xr:uid="{DEDD203E-3FD4-4FD7-ABE0-B78B239AAFE9}"/>
    <cellStyle name="Comma 4 2 2 2 2 5 3" xfId="5841" xr:uid="{00000000-0005-0000-0000-0000C8070000}"/>
    <cellStyle name="Comma 4 2 2 2 2 5 3 2" xfId="14336" xr:uid="{814FCAE1-C4A9-4065-8191-C1D1003A25DF}"/>
    <cellStyle name="Comma 4 2 2 2 2 5 4" xfId="10123" xr:uid="{FF19ADEF-EAAE-4D57-B646-81BB5050ECF7}"/>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94" xr:uid="{0C113A72-6D5A-4238-8867-6631D94AECCC}"/>
    <cellStyle name="Comma 4 2 2 2 2 6 2 3" xfId="12681" xr:uid="{53CF6106-CA78-4F9C-A69A-66D3346AA2F9}"/>
    <cellStyle name="Comma 4 2 2 2 2 6 3" xfId="6254" xr:uid="{00000000-0005-0000-0000-0000CC070000}"/>
    <cellStyle name="Comma 4 2 2 2 2 6 3 2" xfId="14749" xr:uid="{CFA841C2-E38F-4052-AEDF-49ED1EA6CE9B}"/>
    <cellStyle name="Comma 4 2 2 2 2 6 4" xfId="10536" xr:uid="{8C19580D-A4AB-4C62-8478-BB498ACD636D}"/>
    <cellStyle name="Comma 4 2 2 2 2 7" xfId="2383" xr:uid="{00000000-0005-0000-0000-0000CD070000}"/>
    <cellStyle name="Comma 4 2 2 2 2 7 2" xfId="6667" xr:uid="{00000000-0005-0000-0000-0000CE070000}"/>
    <cellStyle name="Comma 4 2 2 2 2 7 2 2" xfId="15162" xr:uid="{F829971D-2EDD-4188-88D7-E4A90646E8CA}"/>
    <cellStyle name="Comma 4 2 2 2 2 7 3" xfId="10949" xr:uid="{160930BC-9B67-42DA-A4A3-BD64D5D1D778}"/>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79" xr:uid="{69C57148-CE45-4C30-845A-2B81AD4DBD8C}"/>
    <cellStyle name="Comma 4 2 2 2 2 9 3" xfId="11266" xr:uid="{3C230807-3C55-4118-8CEB-987A0D35622B}"/>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57" xr:uid="{24D88357-B863-47E6-9827-66CC6AB5C1C4}"/>
    <cellStyle name="Comma 4 2 2 2 3 2 2 3" xfId="11444" xr:uid="{5852836D-C9CB-49D3-B368-9C612FD83B4F}"/>
    <cellStyle name="Comma 4 2 2 2 3 2 3" xfId="5017" xr:uid="{00000000-0005-0000-0000-0000D6070000}"/>
    <cellStyle name="Comma 4 2 2 2 3 2 3 2" xfId="13512" xr:uid="{B9B9BE07-1504-4840-90C8-BA61E605F438}"/>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70" xr:uid="{77159DA0-B5BA-4380-B67F-A1AFB2B5F60C}"/>
    <cellStyle name="Comma 4 2 2 2 3 3 2 3" xfId="11857" xr:uid="{EC520105-7A68-4749-ACCC-DF96983A8DAD}"/>
    <cellStyle name="Comma 4 2 2 2 3 3 3" xfId="5430" xr:uid="{00000000-0005-0000-0000-0000DA070000}"/>
    <cellStyle name="Comma 4 2 2 2 3 3 3 2" xfId="13925" xr:uid="{BC605DBC-DF25-4EE2-9F55-69C34D7F6BE0}"/>
    <cellStyle name="Comma 4 2 2 2 3 3 4" xfId="9712" xr:uid="{E10CD291-DE94-4B5F-A7EA-6E9255743EEC}"/>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83" xr:uid="{C9C59849-BB7E-4355-A422-DD50E622639B}"/>
    <cellStyle name="Comma 4 2 2 2 3 4 2 3" xfId="12270" xr:uid="{3FE762E0-D3BB-4CFC-AEA6-0878798E9EE0}"/>
    <cellStyle name="Comma 4 2 2 2 3 4 3" xfId="5843" xr:uid="{00000000-0005-0000-0000-0000DE070000}"/>
    <cellStyle name="Comma 4 2 2 2 3 4 3 2" xfId="14338" xr:uid="{D8B0D6FE-EF10-49D2-ADD6-79E420977D61}"/>
    <cellStyle name="Comma 4 2 2 2 3 4 4" xfId="10125" xr:uid="{F3000231-EAB3-409C-92C2-068251650EEE}"/>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96" xr:uid="{38237013-E7FF-4A60-B4DC-1B8174663572}"/>
    <cellStyle name="Comma 4 2 2 2 3 5 2 3" xfId="12683" xr:uid="{2699DF5D-4443-4320-ACBE-5EF278076F30}"/>
    <cellStyle name="Comma 4 2 2 2 3 5 3" xfId="6256" xr:uid="{00000000-0005-0000-0000-0000E2070000}"/>
    <cellStyle name="Comma 4 2 2 2 3 5 3 2" xfId="14751" xr:uid="{11C200D5-37F5-49F5-9906-217D63AF33B3}"/>
    <cellStyle name="Comma 4 2 2 2 3 5 4" xfId="10538" xr:uid="{24883B5F-E1BA-416B-A9EC-15148E0C7C4F}"/>
    <cellStyle name="Comma 4 2 2 2 3 6" xfId="2385" xr:uid="{00000000-0005-0000-0000-0000E3070000}"/>
    <cellStyle name="Comma 4 2 2 2 3 6 2" xfId="6669" xr:uid="{00000000-0005-0000-0000-0000E4070000}"/>
    <cellStyle name="Comma 4 2 2 2 3 6 2 2" xfId="15164" xr:uid="{9B58071D-E196-479D-AD7D-F3EDDA4B2DB5}"/>
    <cellStyle name="Comma 4 2 2 2 3 6 3" xfId="10951" xr:uid="{6D2A8A5C-45B7-492F-A5F2-78F4CA4AFF81}"/>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81" xr:uid="{98F7C0C5-AF28-4079-85DE-45C88EDB46A7}"/>
    <cellStyle name="Comma 4 2 2 2 3 8 3" xfId="11268" xr:uid="{D6C8C96F-81E8-4CD4-8E41-7383214A0232}"/>
    <cellStyle name="Comma 4 2 2 2 3 9" xfId="4603" xr:uid="{00000000-0005-0000-0000-0000E8070000}"/>
    <cellStyle name="Comma 4 2 2 2 3 9 2" xfId="13099" xr:uid="{96803E17-ACF7-471E-9C1C-72FA1AA60575}"/>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54" xr:uid="{D267AC6F-66E9-441A-97FF-41D99A114538}"/>
    <cellStyle name="Comma 4 2 2 2 4 2 3" xfId="11441" xr:uid="{5669D8E2-86D9-4003-99CD-B2891EF30647}"/>
    <cellStyle name="Comma 4 2 2 2 4 3" xfId="5014" xr:uid="{00000000-0005-0000-0000-0000EC070000}"/>
    <cellStyle name="Comma 4 2 2 2 4 3 2" xfId="13509" xr:uid="{9BE0BC95-D5E1-4A35-8545-078E59AF9E92}"/>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67" xr:uid="{AA1745D1-06DA-430A-824C-53FAD54E9FA3}"/>
    <cellStyle name="Comma 4 2 2 2 5 2 3" xfId="11854" xr:uid="{D0661F8B-A1D2-46B4-B17C-A74D3752FF89}"/>
    <cellStyle name="Comma 4 2 2 2 5 3" xfId="5427" xr:uid="{00000000-0005-0000-0000-0000F0070000}"/>
    <cellStyle name="Comma 4 2 2 2 5 3 2" xfId="13922" xr:uid="{45A7A315-03AF-4576-89CF-8AC900A136AF}"/>
    <cellStyle name="Comma 4 2 2 2 5 4" xfId="9709" xr:uid="{AFEAAC5C-68E7-4999-BE77-465F2B090C98}"/>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80" xr:uid="{73312EAE-A5EE-46CB-993D-7FE400949F76}"/>
    <cellStyle name="Comma 4 2 2 2 6 2 3" xfId="12267" xr:uid="{76464B89-EB5B-4493-A71A-A549B2678F27}"/>
    <cellStyle name="Comma 4 2 2 2 6 3" xfId="5840" xr:uid="{00000000-0005-0000-0000-0000F4070000}"/>
    <cellStyle name="Comma 4 2 2 2 6 3 2" xfId="14335" xr:uid="{483C669F-5851-4BB3-A96B-5CB29D93F4AC}"/>
    <cellStyle name="Comma 4 2 2 2 6 4" xfId="10122" xr:uid="{6BF206FB-1BD5-4A4F-89C5-30EFFBD966F9}"/>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93" xr:uid="{C4F6A698-0F73-44D6-8A77-AAD5817F632A}"/>
    <cellStyle name="Comma 4 2 2 2 7 2 3" xfId="12680" xr:uid="{3873195D-7D6E-4300-9A78-5137C3F41625}"/>
    <cellStyle name="Comma 4 2 2 2 7 3" xfId="6253" xr:uid="{00000000-0005-0000-0000-0000F8070000}"/>
    <cellStyle name="Comma 4 2 2 2 7 3 2" xfId="14748" xr:uid="{5CCA8BA5-CA50-43B1-BD07-A494FD8C2E24}"/>
    <cellStyle name="Comma 4 2 2 2 7 4" xfId="10535" xr:uid="{0E99759F-8740-4E58-976D-383DD31BE3DD}"/>
    <cellStyle name="Comma 4 2 2 2 8" xfId="2382" xr:uid="{00000000-0005-0000-0000-0000F9070000}"/>
    <cellStyle name="Comma 4 2 2 2 8 2" xfId="6666" xr:uid="{00000000-0005-0000-0000-0000FA070000}"/>
    <cellStyle name="Comma 4 2 2 2 8 2 2" xfId="15161" xr:uid="{AEA742D4-7673-4219-B06F-AC7E1CC96A2D}"/>
    <cellStyle name="Comma 4 2 2 2 8 3" xfId="10948" xr:uid="{EF51F9C2-64E6-4A87-BB92-156AC8C02C67}"/>
    <cellStyle name="Comma 4 2 2 2 9" xfId="2381" xr:uid="{00000000-0005-0000-0000-0000FB070000}"/>
    <cellStyle name="Comma 4 2 2 3" xfId="132" xr:uid="{00000000-0005-0000-0000-0000FC070000}"/>
    <cellStyle name="Comma 4 2 2 3 10" xfId="4604" xr:uid="{00000000-0005-0000-0000-0000FD070000}"/>
    <cellStyle name="Comma 4 2 2 3 10 2" xfId="13100" xr:uid="{E383F041-A284-4984-A8AB-421012558077}"/>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59" xr:uid="{A28911FB-D1D9-4775-B183-8086A9DF2282}"/>
    <cellStyle name="Comma 4 2 2 3 2 2 2 3" xfId="11446" xr:uid="{B1321C9A-E487-485D-9FFC-467F197242A5}"/>
    <cellStyle name="Comma 4 2 2 3 2 2 3" xfId="5019" xr:uid="{00000000-0005-0000-0000-000002080000}"/>
    <cellStyle name="Comma 4 2 2 3 2 2 3 2" xfId="13514" xr:uid="{1FB5C3EE-7E73-4A5C-B012-4BD920CDE917}"/>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72" xr:uid="{469B8927-EF6E-4133-B242-340DD71AD4F2}"/>
    <cellStyle name="Comma 4 2 2 3 2 3 2 3" xfId="11859" xr:uid="{66A0CA46-37AA-4059-B09D-191D1B096DDB}"/>
    <cellStyle name="Comma 4 2 2 3 2 3 3" xfId="5432" xr:uid="{00000000-0005-0000-0000-000006080000}"/>
    <cellStyle name="Comma 4 2 2 3 2 3 3 2" xfId="13927" xr:uid="{E41EEEC0-59D5-4A2B-87A8-8003D61026CF}"/>
    <cellStyle name="Comma 4 2 2 3 2 3 4" xfId="9714" xr:uid="{E8586D5D-FBA3-44D5-AB5A-22530331B5A8}"/>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85" xr:uid="{086EC91B-575A-4EC5-9F11-06CC9E1673F0}"/>
    <cellStyle name="Comma 4 2 2 3 2 4 2 3" xfId="12272" xr:uid="{F18081EB-D4E0-4929-BE66-F6BDD3301295}"/>
    <cellStyle name="Comma 4 2 2 3 2 4 3" xfId="5845" xr:uid="{00000000-0005-0000-0000-00000A080000}"/>
    <cellStyle name="Comma 4 2 2 3 2 4 3 2" xfId="14340" xr:uid="{B3A92093-E1C6-4BC9-9EC0-457AE70B3BAA}"/>
    <cellStyle name="Comma 4 2 2 3 2 4 4" xfId="10127" xr:uid="{6971413E-EF01-4D4B-9418-014051D5D92F}"/>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98" xr:uid="{35B9B774-7A68-4966-A83E-82D2279836AF}"/>
    <cellStyle name="Comma 4 2 2 3 2 5 2 3" xfId="12685" xr:uid="{62E135B8-7506-4115-9904-B2EFB67DB213}"/>
    <cellStyle name="Comma 4 2 2 3 2 5 3" xfId="6258" xr:uid="{00000000-0005-0000-0000-00000E080000}"/>
    <cellStyle name="Comma 4 2 2 3 2 5 3 2" xfId="14753" xr:uid="{2592EADB-2716-42C4-BC23-23D380E756E5}"/>
    <cellStyle name="Comma 4 2 2 3 2 5 4" xfId="10540" xr:uid="{F138FBD9-06E9-4B5B-A05D-B26C8B7D111D}"/>
    <cellStyle name="Comma 4 2 2 3 2 6" xfId="2387" xr:uid="{00000000-0005-0000-0000-00000F080000}"/>
    <cellStyle name="Comma 4 2 2 3 2 6 2" xfId="6671" xr:uid="{00000000-0005-0000-0000-000010080000}"/>
    <cellStyle name="Comma 4 2 2 3 2 6 2 2" xfId="15166" xr:uid="{81ABCDFA-613E-4C0A-9E92-040EBA0DE38D}"/>
    <cellStyle name="Comma 4 2 2 3 2 6 3" xfId="10953" xr:uid="{8F6E0489-DB87-40C9-9CE0-8F2810D42776}"/>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83" xr:uid="{1E57B5F9-C379-40AC-B24E-D74C4394E8A5}"/>
    <cellStyle name="Comma 4 2 2 3 2 8 3" xfId="11270" xr:uid="{70842C31-955A-4C8B-9D3A-7D46B9F68678}"/>
    <cellStyle name="Comma 4 2 2 3 2 9" xfId="4605" xr:uid="{00000000-0005-0000-0000-000014080000}"/>
    <cellStyle name="Comma 4 2 2 3 2 9 2" xfId="13101" xr:uid="{C5B55874-7B10-4F69-A1B6-3AE087813317}"/>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58" xr:uid="{B6D5449D-5964-4ED5-A78A-055D276D9275}"/>
    <cellStyle name="Comma 4 2 2 3 3 2 3" xfId="11445" xr:uid="{97FB8005-EBEF-40E9-ADA1-C9371BE92C47}"/>
    <cellStyle name="Comma 4 2 2 3 3 3" xfId="5018" xr:uid="{00000000-0005-0000-0000-000018080000}"/>
    <cellStyle name="Comma 4 2 2 3 3 3 2" xfId="13513" xr:uid="{FB904262-25C0-4A2F-B327-AEE30AE95647}"/>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71" xr:uid="{2DEA0879-508F-478B-BE99-059D6CAF67F3}"/>
    <cellStyle name="Comma 4 2 2 3 4 2 3" xfId="11858" xr:uid="{52D50869-937D-40C9-B3C4-B9237E264D1D}"/>
    <cellStyle name="Comma 4 2 2 3 4 3" xfId="5431" xr:uid="{00000000-0005-0000-0000-00001C080000}"/>
    <cellStyle name="Comma 4 2 2 3 4 3 2" xfId="13926" xr:uid="{46F25C09-38B7-4D76-A8D3-15792C21FB61}"/>
    <cellStyle name="Comma 4 2 2 3 4 4" xfId="9713" xr:uid="{FD4D054A-C5AA-401B-ACAC-E5F30366DD25}"/>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84" xr:uid="{24EED6FC-3863-4C87-9798-64A8A0B504E6}"/>
    <cellStyle name="Comma 4 2 2 3 5 2 3" xfId="12271" xr:uid="{CBABFD6C-EDB4-4DD4-9291-FF61F3A145AD}"/>
    <cellStyle name="Comma 4 2 2 3 5 3" xfId="5844" xr:uid="{00000000-0005-0000-0000-000020080000}"/>
    <cellStyle name="Comma 4 2 2 3 5 3 2" xfId="14339" xr:uid="{6257882A-6140-4523-BC5C-4B85CB119964}"/>
    <cellStyle name="Comma 4 2 2 3 5 4" xfId="10126" xr:uid="{23BFD385-7225-4E42-9D2B-663349C3CE56}"/>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97" xr:uid="{BE2CFF9B-2AB5-43A5-A687-C04E4DB12150}"/>
    <cellStyle name="Comma 4 2 2 3 6 2 3" xfId="12684" xr:uid="{7D9EB3A2-A79B-4019-8552-BEB6667526F3}"/>
    <cellStyle name="Comma 4 2 2 3 6 3" xfId="6257" xr:uid="{00000000-0005-0000-0000-000024080000}"/>
    <cellStyle name="Comma 4 2 2 3 6 3 2" xfId="14752" xr:uid="{A318BE51-664A-49DF-8CD4-C1C63914EEDF}"/>
    <cellStyle name="Comma 4 2 2 3 6 4" xfId="10539" xr:uid="{4344B92F-53D1-4EBB-8CFD-1A2E2F99D02E}"/>
    <cellStyle name="Comma 4 2 2 3 7" xfId="2386" xr:uid="{00000000-0005-0000-0000-000025080000}"/>
    <cellStyle name="Comma 4 2 2 3 7 2" xfId="6670" xr:uid="{00000000-0005-0000-0000-000026080000}"/>
    <cellStyle name="Comma 4 2 2 3 7 2 2" xfId="15165" xr:uid="{07820C66-F4D5-4FA9-BFFC-D1ED0A472C2C}"/>
    <cellStyle name="Comma 4 2 2 3 7 3" xfId="10952" xr:uid="{EA4ECCD3-41A6-4BB3-B988-6E723E7DA8EB}"/>
    <cellStyle name="Comma 4 2 2 3 8" xfId="2377" xr:uid="{00000000-0005-0000-0000-000027080000}"/>
    <cellStyle name="Comma 4 2 2 3 9" xfId="2764" xr:uid="{00000000-0005-0000-0000-000028080000}"/>
    <cellStyle name="Comma 4 2 2 3 9 2" xfId="6987" xr:uid="{00000000-0005-0000-0000-000029080000}"/>
    <cellStyle name="Comma 4 2 2 3 9 2 2" xfId="15482" xr:uid="{A6DF2BBA-3350-4C82-9615-CFFDB9EE8435}"/>
    <cellStyle name="Comma 4 2 2 3 9 3" xfId="11269" xr:uid="{C844EB8F-3550-4B4C-AF1C-AE340A38DD74}"/>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60" xr:uid="{732CEA20-2DEE-43B5-8907-752989D91A89}"/>
    <cellStyle name="Comma 4 2 2 4 2 2 3" xfId="11447" xr:uid="{F2F14548-65F4-4A79-AD61-BA0B559DE1A7}"/>
    <cellStyle name="Comma 4 2 2 4 2 3" xfId="5020" xr:uid="{00000000-0005-0000-0000-00002E080000}"/>
    <cellStyle name="Comma 4 2 2 4 2 3 2" xfId="13515" xr:uid="{854F4649-B7AC-4FD4-8885-E9AEBC2A405C}"/>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73" xr:uid="{FB111120-1F06-42DF-97C3-57F1B37BF374}"/>
    <cellStyle name="Comma 4 2 2 4 3 2 3" xfId="11860" xr:uid="{5362C880-751E-47A0-85F1-6DD5713BE4E3}"/>
    <cellStyle name="Comma 4 2 2 4 3 3" xfId="5433" xr:uid="{00000000-0005-0000-0000-000032080000}"/>
    <cellStyle name="Comma 4 2 2 4 3 3 2" xfId="13928" xr:uid="{A527BAB4-5E2E-4C83-8824-3B9C1996C214}"/>
    <cellStyle name="Comma 4 2 2 4 3 4" xfId="9715" xr:uid="{DA6C032C-06BD-4C9D-AEAE-662ABE2C1611}"/>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86" xr:uid="{F630E02B-DE75-486E-BBDD-03A090B99A37}"/>
    <cellStyle name="Comma 4 2 2 4 4 2 3" xfId="12273" xr:uid="{06D63B5B-BA37-4A4F-877F-876EF5CBF67A}"/>
    <cellStyle name="Comma 4 2 2 4 4 3" xfId="5846" xr:uid="{00000000-0005-0000-0000-000036080000}"/>
    <cellStyle name="Comma 4 2 2 4 4 3 2" xfId="14341" xr:uid="{67406625-BD7D-437E-87D5-159B40467D27}"/>
    <cellStyle name="Comma 4 2 2 4 4 4" xfId="10128" xr:uid="{E089A761-79B0-4D56-B07D-AC843E297AD7}"/>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99" xr:uid="{BD0376F2-002F-4999-B247-0A1A8AE7A617}"/>
    <cellStyle name="Comma 4 2 2 4 5 2 3" xfId="12686" xr:uid="{4F363137-F074-48D3-8F30-B59C44A2008B}"/>
    <cellStyle name="Comma 4 2 2 4 5 3" xfId="6259" xr:uid="{00000000-0005-0000-0000-00003A080000}"/>
    <cellStyle name="Comma 4 2 2 4 5 3 2" xfId="14754" xr:uid="{65F299C8-DA96-49A0-A9F6-A8AC8FE848D7}"/>
    <cellStyle name="Comma 4 2 2 4 5 4" xfId="10541" xr:uid="{49A88DC7-CE16-411A-97A5-748C07952853}"/>
    <cellStyle name="Comma 4 2 2 4 6" xfId="2388" xr:uid="{00000000-0005-0000-0000-00003B080000}"/>
    <cellStyle name="Comma 4 2 2 4 6 2" xfId="6672" xr:uid="{00000000-0005-0000-0000-00003C080000}"/>
    <cellStyle name="Comma 4 2 2 4 6 2 2" xfId="15167" xr:uid="{EBBA31B9-CC22-41FB-957F-63F17A248326}"/>
    <cellStyle name="Comma 4 2 2 4 6 3" xfId="10954" xr:uid="{891B840B-85C3-4908-BF37-0AC054516D57}"/>
    <cellStyle name="Comma 4 2 2 4 7" xfId="2375" xr:uid="{00000000-0005-0000-0000-00003D080000}"/>
    <cellStyle name="Comma 4 2 2 4 8" xfId="2766" xr:uid="{00000000-0005-0000-0000-00003E080000}"/>
    <cellStyle name="Comma 4 2 2 4 8 2" xfId="6989" xr:uid="{00000000-0005-0000-0000-00003F080000}"/>
    <cellStyle name="Comma 4 2 2 4 8 2 2" xfId="15484" xr:uid="{1A885F4A-07A9-43D5-9BF8-0CF45A124975}"/>
    <cellStyle name="Comma 4 2 2 4 8 3" xfId="11271" xr:uid="{AA4547B8-7B45-4628-80BB-32350B2C7BC4}"/>
    <cellStyle name="Comma 4 2 2 4 9" xfId="4606" xr:uid="{00000000-0005-0000-0000-000040080000}"/>
    <cellStyle name="Comma 4 2 2 4 9 2" xfId="13102" xr:uid="{C9E48E9D-A2D9-4738-9620-5B893E8E4684}"/>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61" xr:uid="{F63D96DD-A94A-4712-8624-87835A038DAC}"/>
    <cellStyle name="Comma 4 2 2 5 2 2 3" xfId="11448" xr:uid="{02956D99-52AF-49C9-A743-BE5B8D410274}"/>
    <cellStyle name="Comma 4 2 2 5 2 3" xfId="5021" xr:uid="{00000000-0005-0000-0000-000045080000}"/>
    <cellStyle name="Comma 4 2 2 5 2 3 2" xfId="13516" xr:uid="{FCC79DE6-A62E-4EFD-A5D4-860E8DD0FD4E}"/>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74" xr:uid="{EE00D70B-CA6B-4759-9D49-844338C1D3EF}"/>
    <cellStyle name="Comma 4 2 2 5 3 2 3" xfId="11861" xr:uid="{CC8A5C55-F6E9-49CE-8A96-64DD017D9B56}"/>
    <cellStyle name="Comma 4 2 2 5 3 3" xfId="5434" xr:uid="{00000000-0005-0000-0000-000049080000}"/>
    <cellStyle name="Comma 4 2 2 5 3 3 2" xfId="13929" xr:uid="{187396EE-8547-4B54-8613-374D02C45DE3}"/>
    <cellStyle name="Comma 4 2 2 5 3 4" xfId="9716" xr:uid="{2DD401DB-34C0-44D4-A898-31C18B5F96B3}"/>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87" xr:uid="{A7E8E78C-E25C-4595-A71C-440B8D7B7B36}"/>
    <cellStyle name="Comma 4 2 2 5 4 2 3" xfId="12274" xr:uid="{03F64BC0-F203-40FE-A94B-B6CE8A2BA833}"/>
    <cellStyle name="Comma 4 2 2 5 4 3" xfId="5847" xr:uid="{00000000-0005-0000-0000-00004D080000}"/>
    <cellStyle name="Comma 4 2 2 5 4 3 2" xfId="14342" xr:uid="{D5B8E0C0-595D-40A6-AD4C-21CA87B2B579}"/>
    <cellStyle name="Comma 4 2 2 5 4 4" xfId="10129" xr:uid="{8222CED8-5830-47DC-B8D0-8DDB32B3DAD3}"/>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900" xr:uid="{7489E383-4DC7-40D4-BAF3-744E13DCF592}"/>
    <cellStyle name="Comma 4 2 2 5 5 2 3" xfId="12687" xr:uid="{B3EA8D99-AE90-4F3B-93D0-7F5B04FA7DCF}"/>
    <cellStyle name="Comma 4 2 2 5 5 3" xfId="6260" xr:uid="{00000000-0005-0000-0000-000051080000}"/>
    <cellStyle name="Comma 4 2 2 5 5 3 2" xfId="14755" xr:uid="{49E68540-9DE2-45A5-B620-CE91A5985438}"/>
    <cellStyle name="Comma 4 2 2 5 5 4" xfId="10542" xr:uid="{2E420916-0D65-4252-AABD-933F462F6F47}"/>
    <cellStyle name="Comma 4 2 2 5 6" xfId="2389" xr:uid="{00000000-0005-0000-0000-000052080000}"/>
    <cellStyle name="Comma 4 2 2 5 6 2" xfId="6673" xr:uid="{00000000-0005-0000-0000-000053080000}"/>
    <cellStyle name="Comma 4 2 2 5 6 2 2" xfId="15168" xr:uid="{7672E9B2-2255-4A9C-9A28-D50DF076902F}"/>
    <cellStyle name="Comma 4 2 2 5 6 3" xfId="10955" xr:uid="{85B1FCCE-E0B1-4F45-8836-BC792D3821C8}"/>
    <cellStyle name="Comma 4 2 2 5 7" xfId="2374" xr:uid="{00000000-0005-0000-0000-000054080000}"/>
    <cellStyle name="Comma 4 2 2 5 8" xfId="2767" xr:uid="{00000000-0005-0000-0000-000055080000}"/>
    <cellStyle name="Comma 4 2 2 5 8 2" xfId="6990" xr:uid="{00000000-0005-0000-0000-000056080000}"/>
    <cellStyle name="Comma 4 2 2 5 8 2 2" xfId="15485" xr:uid="{2570E86D-9201-4F42-A80E-68ABDA9BA8F3}"/>
    <cellStyle name="Comma 4 2 2 5 8 3" xfId="11272" xr:uid="{BD76A56C-E838-4D64-90F1-E95FE98F39AA}"/>
    <cellStyle name="Comma 4 2 2 5 9" xfId="4607" xr:uid="{00000000-0005-0000-0000-000057080000}"/>
    <cellStyle name="Comma 4 2 2 5 9 2" xfId="13103" xr:uid="{7DB4A84A-6F70-4342-A057-E9D24AE2A35E}"/>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5486" xr:uid="{3FB0B744-93D1-4304-9880-1A8605C1C0A9}"/>
    <cellStyle name="Comma 4 2 3 10 3" xfId="11273" xr:uid="{D328CF06-B061-4F94-911D-0DA7EDEC0108}"/>
    <cellStyle name="Comma 4 2 3 11" xfId="4608" xr:uid="{00000000-0005-0000-0000-00005B080000}"/>
    <cellStyle name="Comma 4 2 3 11 2" xfId="13104" xr:uid="{FB802633-C1CE-4BF1-B144-16DB7DDBD9E8}"/>
    <cellStyle name="Comma 4 2 3 12" xfId="8805" xr:uid="{C45527F6-07B7-4887-BAF3-A6424444BA3B}"/>
    <cellStyle name="Comma 4 2 3 2" xfId="137" xr:uid="{00000000-0005-0000-0000-00005C080000}"/>
    <cellStyle name="Comma 4 2 3 2 10" xfId="4609" xr:uid="{00000000-0005-0000-0000-00005D080000}"/>
    <cellStyle name="Comma 4 2 3 2 10 2" xfId="13105" xr:uid="{48A70906-E9AC-47BB-A751-076F41C30B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64" xr:uid="{A12AF529-8965-4F33-B213-5FD2FD7AEC10}"/>
    <cellStyle name="Comma 4 2 3 2 2 2 2 3" xfId="11451" xr:uid="{08BE93FD-D5C3-46A3-BD20-D0B32A12D11B}"/>
    <cellStyle name="Comma 4 2 3 2 2 2 3" xfId="5024" xr:uid="{00000000-0005-0000-0000-000062080000}"/>
    <cellStyle name="Comma 4 2 3 2 2 2 3 2" xfId="13519" xr:uid="{6CA1C36E-CCFD-4254-882D-3B0FBFE5665D}"/>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77" xr:uid="{8A12EED8-0FE2-404D-A5A1-FE4EC3149837}"/>
    <cellStyle name="Comma 4 2 3 2 2 3 2 3" xfId="11864" xr:uid="{D2F52D7B-4B9E-4E0A-A78D-8ED8192237EE}"/>
    <cellStyle name="Comma 4 2 3 2 2 3 3" xfId="5437" xr:uid="{00000000-0005-0000-0000-000066080000}"/>
    <cellStyle name="Comma 4 2 3 2 2 3 3 2" xfId="13932" xr:uid="{9E03B400-9DA1-44AC-A2DD-392BA850A0C5}"/>
    <cellStyle name="Comma 4 2 3 2 2 3 4" xfId="9719" xr:uid="{4400472C-6585-4462-B405-7D355AE485D6}"/>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90" xr:uid="{BC46D0AA-CABE-46E6-B941-60AE6B76E7F8}"/>
    <cellStyle name="Comma 4 2 3 2 2 4 2 3" xfId="12277" xr:uid="{92B46A4B-465E-47CD-8A7F-5D15C98DE1DF}"/>
    <cellStyle name="Comma 4 2 3 2 2 4 3" xfId="5850" xr:uid="{00000000-0005-0000-0000-00006A080000}"/>
    <cellStyle name="Comma 4 2 3 2 2 4 3 2" xfId="14345" xr:uid="{1EE870B2-15D2-4639-90A8-7205F2F55C2D}"/>
    <cellStyle name="Comma 4 2 3 2 2 4 4" xfId="10132" xr:uid="{D7A7AF88-E129-4E01-9459-7D22CA2179B2}"/>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903" xr:uid="{40BEDBAB-A86A-4180-82AF-4DA8C05B0ECC}"/>
    <cellStyle name="Comma 4 2 3 2 2 5 2 3" xfId="12690" xr:uid="{75B60508-336C-43E3-AD99-2B17D65C4CA5}"/>
    <cellStyle name="Comma 4 2 3 2 2 5 3" xfId="6263" xr:uid="{00000000-0005-0000-0000-00006E080000}"/>
    <cellStyle name="Comma 4 2 3 2 2 5 3 2" xfId="14758" xr:uid="{E211B690-61D1-4438-975F-6EF0C4844B60}"/>
    <cellStyle name="Comma 4 2 3 2 2 5 4" xfId="10545" xr:uid="{2B3D0C12-8C71-4D78-BCED-77486DFCC804}"/>
    <cellStyle name="Comma 4 2 3 2 2 6" xfId="2392" xr:uid="{00000000-0005-0000-0000-00006F080000}"/>
    <cellStyle name="Comma 4 2 3 2 2 6 2" xfId="6676" xr:uid="{00000000-0005-0000-0000-000070080000}"/>
    <cellStyle name="Comma 4 2 3 2 2 6 2 2" xfId="15171" xr:uid="{B25C411A-7211-4A0C-9FD7-9C13100C3766}"/>
    <cellStyle name="Comma 4 2 3 2 2 6 3" xfId="10958" xr:uid="{C8A1D98D-B92F-4A4E-AE8A-94E418C1316F}"/>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88" xr:uid="{0C36CE2F-6862-4D89-975F-81CF4A5D79D1}"/>
    <cellStyle name="Comma 4 2 3 2 2 8 3" xfId="11275" xr:uid="{B1764FE9-0DC2-4F04-ADDF-FBB5D5EF1D0B}"/>
    <cellStyle name="Comma 4 2 3 2 2 9" xfId="4610" xr:uid="{00000000-0005-0000-0000-000074080000}"/>
    <cellStyle name="Comma 4 2 3 2 2 9 2" xfId="13106" xr:uid="{B60DF113-A44C-42B6-BC06-34FF182633E3}"/>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63" xr:uid="{EC0AF0DE-1022-4BEC-9A93-205B0E85E394}"/>
    <cellStyle name="Comma 4 2 3 2 3 2 3" xfId="11450" xr:uid="{522E802A-A191-4228-A3CF-E144F5B07243}"/>
    <cellStyle name="Comma 4 2 3 2 3 3" xfId="5023" xr:uid="{00000000-0005-0000-0000-000078080000}"/>
    <cellStyle name="Comma 4 2 3 2 3 3 2" xfId="13518" xr:uid="{17BEC7EA-F00A-4B75-825E-1109C832A571}"/>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76" xr:uid="{41C102A5-7D04-4936-BD36-AF35F93DBED4}"/>
    <cellStyle name="Comma 4 2 3 2 4 2 3" xfId="11863" xr:uid="{A0375C87-3933-4C07-9914-DBDB3A6F39C0}"/>
    <cellStyle name="Comma 4 2 3 2 4 3" xfId="5436" xr:uid="{00000000-0005-0000-0000-00007C080000}"/>
    <cellStyle name="Comma 4 2 3 2 4 3 2" xfId="13931" xr:uid="{5A03E817-CCFD-4F09-8831-05EDFFBFE3AF}"/>
    <cellStyle name="Comma 4 2 3 2 4 4" xfId="9718" xr:uid="{B3310B8C-F0ED-4838-8011-750E0C8160E2}"/>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89" xr:uid="{3F273B1F-7E67-4B93-8905-98BF54C4E822}"/>
    <cellStyle name="Comma 4 2 3 2 5 2 3" xfId="12276" xr:uid="{D3AB72EA-868B-42EC-A309-367B0D67931A}"/>
    <cellStyle name="Comma 4 2 3 2 5 3" xfId="5849" xr:uid="{00000000-0005-0000-0000-000080080000}"/>
    <cellStyle name="Comma 4 2 3 2 5 3 2" xfId="14344" xr:uid="{238EA7D7-D223-40FB-BF97-6EB3954F8890}"/>
    <cellStyle name="Comma 4 2 3 2 5 4" xfId="10131" xr:uid="{64278C87-820E-4AA5-8A17-109C7B1241E6}"/>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902" xr:uid="{2B01B8EC-F32B-4B31-B64C-CEA04489204C}"/>
    <cellStyle name="Comma 4 2 3 2 6 2 3" xfId="12689" xr:uid="{7AE4F9EE-02FC-4024-A674-EB88FA2C1D58}"/>
    <cellStyle name="Comma 4 2 3 2 6 3" xfId="6262" xr:uid="{00000000-0005-0000-0000-000084080000}"/>
    <cellStyle name="Comma 4 2 3 2 6 3 2" xfId="14757" xr:uid="{137AC3A3-C0CE-46F3-8637-4C9890DEA6C7}"/>
    <cellStyle name="Comma 4 2 3 2 6 4" xfId="10544" xr:uid="{57B63633-D8A4-4FF7-A382-A6DB755491C7}"/>
    <cellStyle name="Comma 4 2 3 2 7" xfId="2391" xr:uid="{00000000-0005-0000-0000-000085080000}"/>
    <cellStyle name="Comma 4 2 3 2 7 2" xfId="6675" xr:uid="{00000000-0005-0000-0000-000086080000}"/>
    <cellStyle name="Comma 4 2 3 2 7 2 2" xfId="15170" xr:uid="{80CD18A9-53A3-44FA-9CED-9B8C0FF51A60}"/>
    <cellStyle name="Comma 4 2 3 2 7 3" xfId="10957" xr:uid="{5A8E929B-8438-4821-B026-902948ABC6A9}"/>
    <cellStyle name="Comma 4 2 3 2 8" xfId="2372" xr:uid="{00000000-0005-0000-0000-000087080000}"/>
    <cellStyle name="Comma 4 2 3 2 9" xfId="2769" xr:uid="{00000000-0005-0000-0000-000088080000}"/>
    <cellStyle name="Comma 4 2 3 2 9 2" xfId="6992" xr:uid="{00000000-0005-0000-0000-000089080000}"/>
    <cellStyle name="Comma 4 2 3 2 9 2 2" xfId="15487" xr:uid="{E0FA916B-BEBE-44E6-8FE1-36A0C2A8C802}"/>
    <cellStyle name="Comma 4 2 3 2 9 3" xfId="11274" xr:uid="{36495E0C-C81F-4DD8-B0D5-585B91F90488}"/>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65" xr:uid="{329DE84F-8006-4436-BCFC-733F86EED9CB}"/>
    <cellStyle name="Comma 4 2 3 3 2 2 3" xfId="11452" xr:uid="{F9929CD4-7F2E-4784-B8B9-42E3F0D359D5}"/>
    <cellStyle name="Comma 4 2 3 3 2 3" xfId="5025" xr:uid="{00000000-0005-0000-0000-00008E080000}"/>
    <cellStyle name="Comma 4 2 3 3 2 3 2" xfId="13520" xr:uid="{A70FA66D-18BC-4EF7-A87B-82687DF0C483}"/>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78" xr:uid="{74B69D1F-C489-4C6B-A20E-981D6E61B303}"/>
    <cellStyle name="Comma 4 2 3 3 3 2 3" xfId="11865" xr:uid="{E764E9BD-EBC3-4A5A-866A-5208FAB247ED}"/>
    <cellStyle name="Comma 4 2 3 3 3 3" xfId="5438" xr:uid="{00000000-0005-0000-0000-000092080000}"/>
    <cellStyle name="Comma 4 2 3 3 3 3 2" xfId="13933" xr:uid="{F1DF3171-3AE9-45F0-AD79-E18CE9C11D8C}"/>
    <cellStyle name="Comma 4 2 3 3 3 4" xfId="9720" xr:uid="{CDB4BA07-B59D-4FF5-B57B-39EE944720C6}"/>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91" xr:uid="{7C5719CB-94CE-403D-9D27-E29B9382390D}"/>
    <cellStyle name="Comma 4 2 3 3 4 2 3" xfId="12278" xr:uid="{C57DDFDA-664A-4D12-BD22-CC98E3929400}"/>
    <cellStyle name="Comma 4 2 3 3 4 3" xfId="5851" xr:uid="{00000000-0005-0000-0000-000096080000}"/>
    <cellStyle name="Comma 4 2 3 3 4 3 2" xfId="14346" xr:uid="{ACEC313B-AAA1-48A0-AB49-E2EAC8FFAC71}"/>
    <cellStyle name="Comma 4 2 3 3 4 4" xfId="10133" xr:uid="{05982928-C9FA-4198-9E70-251F0C29CF20}"/>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904" xr:uid="{6553F579-99A4-4F2F-A581-3630EB1E6C2A}"/>
    <cellStyle name="Comma 4 2 3 3 5 2 3" xfId="12691" xr:uid="{86CA17DF-9B05-4194-81E8-1C5AA6AB16D8}"/>
    <cellStyle name="Comma 4 2 3 3 5 3" xfId="6264" xr:uid="{00000000-0005-0000-0000-00009A080000}"/>
    <cellStyle name="Comma 4 2 3 3 5 3 2" xfId="14759" xr:uid="{A5A418D7-C4FF-4FAD-B280-5599DC761747}"/>
    <cellStyle name="Comma 4 2 3 3 5 4" xfId="10546" xr:uid="{8D25BF28-3E64-4FC0-BDCB-B97463A1A9CF}"/>
    <cellStyle name="Comma 4 2 3 3 6" xfId="2393" xr:uid="{00000000-0005-0000-0000-00009B080000}"/>
    <cellStyle name="Comma 4 2 3 3 6 2" xfId="6677" xr:uid="{00000000-0005-0000-0000-00009C080000}"/>
    <cellStyle name="Comma 4 2 3 3 6 2 2" xfId="15172" xr:uid="{B45A2926-E38E-4DE6-A00A-F40568734EC9}"/>
    <cellStyle name="Comma 4 2 3 3 6 3" xfId="10959" xr:uid="{7E33F046-B11B-4736-818C-97B94C4BF25D}"/>
    <cellStyle name="Comma 4 2 3 3 7" xfId="2370" xr:uid="{00000000-0005-0000-0000-00009D080000}"/>
    <cellStyle name="Comma 4 2 3 3 8" xfId="2771" xr:uid="{00000000-0005-0000-0000-00009E080000}"/>
    <cellStyle name="Comma 4 2 3 3 8 2" xfId="6994" xr:uid="{00000000-0005-0000-0000-00009F080000}"/>
    <cellStyle name="Comma 4 2 3 3 8 2 2" xfId="15489" xr:uid="{7F001EDB-8CD2-41FF-8913-51E1D003DE2D}"/>
    <cellStyle name="Comma 4 2 3 3 8 3" xfId="11276" xr:uid="{842A3259-8B7C-4790-A59B-F8CF49CC1AA2}"/>
    <cellStyle name="Comma 4 2 3 3 9" xfId="4611" xr:uid="{00000000-0005-0000-0000-0000A0080000}"/>
    <cellStyle name="Comma 4 2 3 3 9 2" xfId="13107" xr:uid="{2893FFE0-9A47-4AF7-A352-98A2A237F132}"/>
    <cellStyle name="Comma 4 2 3 4" xfId="674" xr:uid="{00000000-0005-0000-0000-0000A1080000}"/>
    <cellStyle name="Comma 4 2 3 4 2" xfId="2945" xr:uid="{00000000-0005-0000-0000-0000A2080000}"/>
    <cellStyle name="Comma 4 2 3 4 2 2" xfId="7167" xr:uid="{00000000-0005-0000-0000-0000A3080000}"/>
    <cellStyle name="Comma 4 2 3 4 2 2 2" xfId="15662" xr:uid="{949CAD06-D11B-4C54-BDBD-B926CE252DE6}"/>
    <cellStyle name="Comma 4 2 3 4 2 3" xfId="11449" xr:uid="{76A5A154-6489-4AA9-9676-AF1BC6B9E928}"/>
    <cellStyle name="Comma 4 2 3 4 3" xfId="5022" xr:uid="{00000000-0005-0000-0000-0000A4080000}"/>
    <cellStyle name="Comma 4 2 3 4 3 2" xfId="13517" xr:uid="{A03124F7-FA8C-4F7D-ACB2-0EA0AAF5C4D9}"/>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2 2 2" xfId="16075" xr:uid="{76CA0178-FE6C-44A1-99EE-BCB055432719}"/>
    <cellStyle name="Comma 4 2 3 5 2 3" xfId="11862" xr:uid="{11915791-B558-41B4-AB09-D9DF53A014D3}"/>
    <cellStyle name="Comma 4 2 3 5 3" xfId="5435" xr:uid="{00000000-0005-0000-0000-0000A8080000}"/>
    <cellStyle name="Comma 4 2 3 5 3 2" xfId="13930" xr:uid="{3B5F77EA-89ED-42B3-A4BD-FD6FD5488FDA}"/>
    <cellStyle name="Comma 4 2 3 5 4" xfId="9717" xr:uid="{7B8FE1C5-C6BF-41AA-9566-7053D396FED3}"/>
    <cellStyle name="Comma 4 2 3 6" xfId="1541" xr:uid="{00000000-0005-0000-0000-0000A9080000}"/>
    <cellStyle name="Comma 4 2 3 6 2" xfId="3771" xr:uid="{00000000-0005-0000-0000-0000AA080000}"/>
    <cellStyle name="Comma 4 2 3 6 2 2" xfId="7993" xr:uid="{00000000-0005-0000-0000-0000AB080000}"/>
    <cellStyle name="Comma 4 2 3 6 2 2 2" xfId="16488" xr:uid="{08D781C6-7AEE-40FE-B338-1D37F9AE2E81}"/>
    <cellStyle name="Comma 4 2 3 6 2 3" xfId="12275" xr:uid="{6C72664E-2466-49D1-9FD9-D87A4C77C61E}"/>
    <cellStyle name="Comma 4 2 3 6 3" xfId="5848" xr:uid="{00000000-0005-0000-0000-0000AC080000}"/>
    <cellStyle name="Comma 4 2 3 6 3 2" xfId="14343" xr:uid="{FF9D0660-8BAB-4AB8-A57B-606728364DF5}"/>
    <cellStyle name="Comma 4 2 3 6 4" xfId="10130" xr:uid="{20465A25-FDD4-47F0-B8FB-9D916B2F4A7A}"/>
    <cellStyle name="Comma 4 2 3 7" xfId="1955" xr:uid="{00000000-0005-0000-0000-0000AD080000}"/>
    <cellStyle name="Comma 4 2 3 7 2" xfId="4184" xr:uid="{00000000-0005-0000-0000-0000AE080000}"/>
    <cellStyle name="Comma 4 2 3 7 2 2" xfId="8406" xr:uid="{00000000-0005-0000-0000-0000AF080000}"/>
    <cellStyle name="Comma 4 2 3 7 2 2 2" xfId="16901" xr:uid="{574BB7B4-4653-4EED-94E5-29994DCBE665}"/>
    <cellStyle name="Comma 4 2 3 7 2 3" xfId="12688" xr:uid="{AF6BB96B-CD11-4E96-874F-9503D094E0B3}"/>
    <cellStyle name="Comma 4 2 3 7 3" xfId="6261" xr:uid="{00000000-0005-0000-0000-0000B0080000}"/>
    <cellStyle name="Comma 4 2 3 7 3 2" xfId="14756" xr:uid="{15859F0A-24BB-4CEA-A2E3-DEE4D314761F}"/>
    <cellStyle name="Comma 4 2 3 7 4" xfId="10543" xr:uid="{AB255957-FE6E-4B72-B595-6CDBC698EEB4}"/>
    <cellStyle name="Comma 4 2 3 8" xfId="2390" xr:uid="{00000000-0005-0000-0000-0000B1080000}"/>
    <cellStyle name="Comma 4 2 3 8 2" xfId="6674" xr:uid="{00000000-0005-0000-0000-0000B2080000}"/>
    <cellStyle name="Comma 4 2 3 8 2 2" xfId="15169" xr:uid="{1CCCF44D-DA46-4D16-B76F-6602DDF8F832}"/>
    <cellStyle name="Comma 4 2 3 8 3" xfId="10956" xr:uid="{A9D9D54A-AAB4-4A2D-9A67-A5698D170CB5}"/>
    <cellStyle name="Comma 4 2 3 9" xfId="2373" xr:uid="{00000000-0005-0000-0000-0000B3080000}"/>
    <cellStyle name="Comma 4 2 4" xfId="140" xr:uid="{00000000-0005-0000-0000-0000B4080000}"/>
    <cellStyle name="Comma 4 2 4 10" xfId="4612" xr:uid="{00000000-0005-0000-0000-0000B5080000}"/>
    <cellStyle name="Comma 4 2 4 10 2" xfId="13108" xr:uid="{2C54DF61-D226-4B22-BACC-2450078EAF37}"/>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67" xr:uid="{1C7B8C63-59B6-4D80-9AAE-5CE0854A4F9D}"/>
    <cellStyle name="Comma 4 2 4 2 2 2 3" xfId="11454" xr:uid="{F701F4ED-5630-4EFE-AEA1-097DA3926E2E}"/>
    <cellStyle name="Comma 4 2 4 2 2 3" xfId="5027" xr:uid="{00000000-0005-0000-0000-0000BA080000}"/>
    <cellStyle name="Comma 4 2 4 2 2 3 2" xfId="13522" xr:uid="{51E8B695-65AB-42AC-B000-499DA6D57784}"/>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80" xr:uid="{6A147EF9-5511-4FE1-BE8E-83399D1A7D12}"/>
    <cellStyle name="Comma 4 2 4 2 3 2 3" xfId="11867" xr:uid="{FA33C4E0-0FF6-4546-BD3F-8C6652C4C272}"/>
    <cellStyle name="Comma 4 2 4 2 3 3" xfId="5440" xr:uid="{00000000-0005-0000-0000-0000BE080000}"/>
    <cellStyle name="Comma 4 2 4 2 3 3 2" xfId="13935" xr:uid="{349CE22C-91B7-4C77-B8DF-D27333AF01BF}"/>
    <cellStyle name="Comma 4 2 4 2 3 4" xfId="9722" xr:uid="{7C40FE6C-5EF8-47C6-A5F4-CF819D60B681}"/>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93" xr:uid="{83A129A6-A737-4151-A07D-641603AD431F}"/>
    <cellStyle name="Comma 4 2 4 2 4 2 3" xfId="12280" xr:uid="{2E38C76E-D196-43F7-9EF2-654CA21EFA24}"/>
    <cellStyle name="Comma 4 2 4 2 4 3" xfId="5853" xr:uid="{00000000-0005-0000-0000-0000C2080000}"/>
    <cellStyle name="Comma 4 2 4 2 4 3 2" xfId="14348" xr:uid="{BE15A06B-DEBA-490C-90DB-1001675F8929}"/>
    <cellStyle name="Comma 4 2 4 2 4 4" xfId="10135" xr:uid="{451D70B8-410D-4476-8604-59BEAD463EA9}"/>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906" xr:uid="{9864A993-E20E-4B8F-A927-3A0FF78ADC83}"/>
    <cellStyle name="Comma 4 2 4 2 5 2 3" xfId="12693" xr:uid="{FBBF8869-5AF4-46DE-B844-39A4ADF1EDBE}"/>
    <cellStyle name="Comma 4 2 4 2 5 3" xfId="6266" xr:uid="{00000000-0005-0000-0000-0000C6080000}"/>
    <cellStyle name="Comma 4 2 4 2 5 3 2" xfId="14761" xr:uid="{99C3B282-E6C0-4723-8AAD-B2E14578DEB9}"/>
    <cellStyle name="Comma 4 2 4 2 5 4" xfId="10548" xr:uid="{D91621DB-9BA6-488B-8DEC-40E63EC77848}"/>
    <cellStyle name="Comma 4 2 4 2 6" xfId="2395" xr:uid="{00000000-0005-0000-0000-0000C7080000}"/>
    <cellStyle name="Comma 4 2 4 2 6 2" xfId="6679" xr:uid="{00000000-0005-0000-0000-0000C8080000}"/>
    <cellStyle name="Comma 4 2 4 2 6 2 2" xfId="15174" xr:uid="{2626AB03-A7FA-43A6-AEAB-3A4E3BE3AB88}"/>
    <cellStyle name="Comma 4 2 4 2 6 3" xfId="10961" xr:uid="{33AD78A7-FE21-43FA-A205-7963AB55F676}"/>
    <cellStyle name="Comma 4 2 4 2 7" xfId="2368" xr:uid="{00000000-0005-0000-0000-0000C9080000}"/>
    <cellStyle name="Comma 4 2 4 2 8" xfId="2773" xr:uid="{00000000-0005-0000-0000-0000CA080000}"/>
    <cellStyle name="Comma 4 2 4 2 8 2" xfId="6996" xr:uid="{00000000-0005-0000-0000-0000CB080000}"/>
    <cellStyle name="Comma 4 2 4 2 8 2 2" xfId="15491" xr:uid="{32F0A5D4-FF92-4E22-B033-CCEF171D82C7}"/>
    <cellStyle name="Comma 4 2 4 2 8 3" xfId="11278" xr:uid="{6B78A740-6408-41EA-B641-983856B17A8B}"/>
    <cellStyle name="Comma 4 2 4 2 9" xfId="4613" xr:uid="{00000000-0005-0000-0000-0000CC080000}"/>
    <cellStyle name="Comma 4 2 4 2 9 2" xfId="13109" xr:uid="{F9A394E2-F94F-4C51-92A0-0BDAE97E00E7}"/>
    <cellStyle name="Comma 4 2 4 3" xfId="678" xr:uid="{00000000-0005-0000-0000-0000CD080000}"/>
    <cellStyle name="Comma 4 2 4 3 2" xfId="2949" xr:uid="{00000000-0005-0000-0000-0000CE080000}"/>
    <cellStyle name="Comma 4 2 4 3 2 2" xfId="7171" xr:uid="{00000000-0005-0000-0000-0000CF080000}"/>
    <cellStyle name="Comma 4 2 4 3 2 2 2" xfId="15666" xr:uid="{963C6398-DAF1-44E5-8C54-93C908F73A90}"/>
    <cellStyle name="Comma 4 2 4 3 2 3" xfId="11453" xr:uid="{D330C5D5-A84E-42E9-A1F1-DF276A085836}"/>
    <cellStyle name="Comma 4 2 4 3 3" xfId="5026" xr:uid="{00000000-0005-0000-0000-0000D0080000}"/>
    <cellStyle name="Comma 4 2 4 3 3 2" xfId="13521" xr:uid="{DB56527C-2EE0-4C1F-B630-1C70C7654D81}"/>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2 2 2" xfId="16079" xr:uid="{962574EA-CDE1-4359-BB13-16C34DEC0698}"/>
    <cellStyle name="Comma 4 2 4 4 2 3" xfId="11866" xr:uid="{14424373-EEE0-4964-99B0-6EBC37DF5A34}"/>
    <cellStyle name="Comma 4 2 4 4 3" xfId="5439" xr:uid="{00000000-0005-0000-0000-0000D4080000}"/>
    <cellStyle name="Comma 4 2 4 4 3 2" xfId="13934" xr:uid="{D768A35D-1726-4997-A410-D61F306DA766}"/>
    <cellStyle name="Comma 4 2 4 4 4" xfId="9721" xr:uid="{6588D96D-E625-4AB9-8335-D8BE0DA60364}"/>
    <cellStyle name="Comma 4 2 4 5" xfId="1545" xr:uid="{00000000-0005-0000-0000-0000D5080000}"/>
    <cellStyle name="Comma 4 2 4 5 2" xfId="3775" xr:uid="{00000000-0005-0000-0000-0000D6080000}"/>
    <cellStyle name="Comma 4 2 4 5 2 2" xfId="7997" xr:uid="{00000000-0005-0000-0000-0000D7080000}"/>
    <cellStyle name="Comma 4 2 4 5 2 2 2" xfId="16492" xr:uid="{747B5334-BDDB-4831-9B89-58858B049AF8}"/>
    <cellStyle name="Comma 4 2 4 5 2 3" xfId="12279" xr:uid="{4547280C-EF8B-4CA9-A71B-B3115A3B40D2}"/>
    <cellStyle name="Comma 4 2 4 5 3" xfId="5852" xr:uid="{00000000-0005-0000-0000-0000D8080000}"/>
    <cellStyle name="Comma 4 2 4 5 3 2" xfId="14347" xr:uid="{FFC6D83F-0EFF-46B1-A189-EAC745F17AD7}"/>
    <cellStyle name="Comma 4 2 4 5 4" xfId="10134" xr:uid="{5514D2D3-EE76-4156-912E-3B6ACDA0670B}"/>
    <cellStyle name="Comma 4 2 4 6" xfId="1959" xr:uid="{00000000-0005-0000-0000-0000D9080000}"/>
    <cellStyle name="Comma 4 2 4 6 2" xfId="4188" xr:uid="{00000000-0005-0000-0000-0000DA080000}"/>
    <cellStyle name="Comma 4 2 4 6 2 2" xfId="8410" xr:uid="{00000000-0005-0000-0000-0000DB080000}"/>
    <cellStyle name="Comma 4 2 4 6 2 2 2" xfId="16905" xr:uid="{F7210CC1-0CC8-4D47-9510-0E56FF786C47}"/>
    <cellStyle name="Comma 4 2 4 6 2 3" xfId="12692" xr:uid="{03546039-61EE-4256-BEA2-5450624E9F4D}"/>
    <cellStyle name="Comma 4 2 4 6 3" xfId="6265" xr:uid="{00000000-0005-0000-0000-0000DC080000}"/>
    <cellStyle name="Comma 4 2 4 6 3 2" xfId="14760" xr:uid="{945BF523-3CED-498D-8228-759606F8FE86}"/>
    <cellStyle name="Comma 4 2 4 6 4" xfId="10547" xr:uid="{5EB88E4F-BEE8-487A-A8D1-71161B5121F3}"/>
    <cellStyle name="Comma 4 2 4 7" xfId="2394" xr:uid="{00000000-0005-0000-0000-0000DD080000}"/>
    <cellStyle name="Comma 4 2 4 7 2" xfId="6678" xr:uid="{00000000-0005-0000-0000-0000DE080000}"/>
    <cellStyle name="Comma 4 2 4 7 2 2" xfId="15173" xr:uid="{F71BB002-C6C9-4329-A35F-8A424AD6ED8B}"/>
    <cellStyle name="Comma 4 2 4 7 3" xfId="10960" xr:uid="{A4BFBB01-2D1A-4D16-9564-1007179D7D3D}"/>
    <cellStyle name="Comma 4 2 4 8" xfId="2369" xr:uid="{00000000-0005-0000-0000-0000DF080000}"/>
    <cellStyle name="Comma 4 2 4 9" xfId="2772" xr:uid="{00000000-0005-0000-0000-0000E0080000}"/>
    <cellStyle name="Comma 4 2 4 9 2" xfId="6995" xr:uid="{00000000-0005-0000-0000-0000E1080000}"/>
    <cellStyle name="Comma 4 2 4 9 2 2" xfId="15490" xr:uid="{37A3308E-1494-4B55-8DFF-63B447CAF81F}"/>
    <cellStyle name="Comma 4 2 4 9 3" xfId="11277" xr:uid="{B4A3BF58-68E4-45EA-848F-56404549897B}"/>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2 2 2" xfId="15668" xr:uid="{1D49943E-4471-42EA-859E-6B9783FAFB4B}"/>
    <cellStyle name="Comma 4 2 5 2 2 3" xfId="11455" xr:uid="{54BF37E6-072A-4BAB-BB7C-31210B523890}"/>
    <cellStyle name="Comma 4 2 5 2 3" xfId="5028" xr:uid="{00000000-0005-0000-0000-0000E6080000}"/>
    <cellStyle name="Comma 4 2 5 2 3 2" xfId="13523" xr:uid="{9D16C6A5-7BFD-4E4E-BE87-234A20C56B15}"/>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2 2 2" xfId="16081" xr:uid="{0F663F7C-FE02-44C1-8E29-66F98FD329AA}"/>
    <cellStyle name="Comma 4 2 5 3 2 3" xfId="11868" xr:uid="{0DCE6F81-8162-46EC-8D7A-22A6872F14B1}"/>
    <cellStyle name="Comma 4 2 5 3 3" xfId="5441" xr:uid="{00000000-0005-0000-0000-0000EA080000}"/>
    <cellStyle name="Comma 4 2 5 3 3 2" xfId="13936" xr:uid="{227013B3-45DE-4940-A927-954F8C9A6732}"/>
    <cellStyle name="Comma 4 2 5 3 4" xfId="9723" xr:uid="{DF061845-B691-410A-9655-549293C8ACFA}"/>
    <cellStyle name="Comma 4 2 5 4" xfId="1547" xr:uid="{00000000-0005-0000-0000-0000EB080000}"/>
    <cellStyle name="Comma 4 2 5 4 2" xfId="3777" xr:uid="{00000000-0005-0000-0000-0000EC080000}"/>
    <cellStyle name="Comma 4 2 5 4 2 2" xfId="7999" xr:uid="{00000000-0005-0000-0000-0000ED080000}"/>
    <cellStyle name="Comma 4 2 5 4 2 2 2" xfId="16494" xr:uid="{C69D3960-5A2C-4061-B700-830FD6EB2D30}"/>
    <cellStyle name="Comma 4 2 5 4 2 3" xfId="12281" xr:uid="{13D86A44-BAB3-4840-B24B-A63871650A0F}"/>
    <cellStyle name="Comma 4 2 5 4 3" xfId="5854" xr:uid="{00000000-0005-0000-0000-0000EE080000}"/>
    <cellStyle name="Comma 4 2 5 4 3 2" xfId="14349" xr:uid="{C168B347-7958-492D-8AF6-83632DD495B1}"/>
    <cellStyle name="Comma 4 2 5 4 4" xfId="10136" xr:uid="{8BC16B8C-BFB6-40C7-91D6-5829E16CBFA2}"/>
    <cellStyle name="Comma 4 2 5 5" xfId="1961" xr:uid="{00000000-0005-0000-0000-0000EF080000}"/>
    <cellStyle name="Comma 4 2 5 5 2" xfId="4190" xr:uid="{00000000-0005-0000-0000-0000F0080000}"/>
    <cellStyle name="Comma 4 2 5 5 2 2" xfId="8412" xr:uid="{00000000-0005-0000-0000-0000F1080000}"/>
    <cellStyle name="Comma 4 2 5 5 2 2 2" xfId="16907" xr:uid="{7D2CB013-F46D-45A8-BDEE-D83903F7B838}"/>
    <cellStyle name="Comma 4 2 5 5 2 3" xfId="12694" xr:uid="{124DEAD1-A830-49F5-BD3C-DEE993F29407}"/>
    <cellStyle name="Comma 4 2 5 5 3" xfId="6267" xr:uid="{00000000-0005-0000-0000-0000F2080000}"/>
    <cellStyle name="Comma 4 2 5 5 3 2" xfId="14762" xr:uid="{521A5B60-FE80-4F4B-BF49-C17B9A870AFA}"/>
    <cellStyle name="Comma 4 2 5 5 4" xfId="10549" xr:uid="{6F80B157-0740-429B-B339-A4AC79C36903}"/>
    <cellStyle name="Comma 4 2 5 6" xfId="2396" xr:uid="{00000000-0005-0000-0000-0000F3080000}"/>
    <cellStyle name="Comma 4 2 5 6 2" xfId="6680" xr:uid="{00000000-0005-0000-0000-0000F4080000}"/>
    <cellStyle name="Comma 4 2 5 6 2 2" xfId="15175" xr:uid="{FE6A2787-356E-4E03-842F-A30F89470FC5}"/>
    <cellStyle name="Comma 4 2 5 6 3" xfId="10962" xr:uid="{9BF63C2A-DC96-4C03-9806-4DD531957B44}"/>
    <cellStyle name="Comma 4 2 5 7" xfId="2367" xr:uid="{00000000-0005-0000-0000-0000F5080000}"/>
    <cellStyle name="Comma 4 2 5 8" xfId="2774" xr:uid="{00000000-0005-0000-0000-0000F6080000}"/>
    <cellStyle name="Comma 4 2 5 8 2" xfId="6997" xr:uid="{00000000-0005-0000-0000-0000F7080000}"/>
    <cellStyle name="Comma 4 2 5 8 2 2" xfId="15492" xr:uid="{2BD26203-3BC5-43AA-BAC0-038843C1E7AA}"/>
    <cellStyle name="Comma 4 2 5 8 3" xfId="11279" xr:uid="{7A6B8A17-9368-4CEA-B275-A1FAAFC003FD}"/>
    <cellStyle name="Comma 4 2 5 9" xfId="4614" xr:uid="{00000000-0005-0000-0000-0000F8080000}"/>
    <cellStyle name="Comma 4 2 5 9 2" xfId="13110" xr:uid="{5FFC05FD-D3DE-47EB-9F41-6B9F605BF6B2}"/>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2 2 2" xfId="15669" xr:uid="{CFD160D8-A628-47AD-841D-064EDE657E12}"/>
    <cellStyle name="Comma 4 2 6 2 2 3" xfId="11456" xr:uid="{060F9E65-498E-4C2D-B7D4-09B638898044}"/>
    <cellStyle name="Comma 4 2 6 2 3" xfId="5029" xr:uid="{00000000-0005-0000-0000-0000FD080000}"/>
    <cellStyle name="Comma 4 2 6 2 3 2" xfId="13524" xr:uid="{9778E1C5-ADFA-4CC3-8442-B2661E594B9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2 2 2" xfId="16082" xr:uid="{435BA557-B97F-4887-A1A6-0681348B1EF8}"/>
    <cellStyle name="Comma 4 2 6 3 2 3" xfId="11869" xr:uid="{1D86CEA1-5ABB-463A-A924-8ABDB57A810E}"/>
    <cellStyle name="Comma 4 2 6 3 3" xfId="5442" xr:uid="{00000000-0005-0000-0000-000001090000}"/>
    <cellStyle name="Comma 4 2 6 3 3 2" xfId="13937" xr:uid="{9EEE08AF-BCDE-4A94-8F40-CB6D87568EAF}"/>
    <cellStyle name="Comma 4 2 6 3 4" xfId="9724" xr:uid="{EE11C671-6022-4971-9E2C-0E07D6E48567}"/>
    <cellStyle name="Comma 4 2 6 4" xfId="1548" xr:uid="{00000000-0005-0000-0000-000002090000}"/>
    <cellStyle name="Comma 4 2 6 4 2" xfId="3778" xr:uid="{00000000-0005-0000-0000-000003090000}"/>
    <cellStyle name="Comma 4 2 6 4 2 2" xfId="8000" xr:uid="{00000000-0005-0000-0000-000004090000}"/>
    <cellStyle name="Comma 4 2 6 4 2 2 2" xfId="16495" xr:uid="{76905D21-47BB-4A0C-81C2-41DD72CB3DA6}"/>
    <cellStyle name="Comma 4 2 6 4 2 3" xfId="12282" xr:uid="{76582F65-088A-47B3-AF41-1E2CCBF53B9D}"/>
    <cellStyle name="Comma 4 2 6 4 3" xfId="5855" xr:uid="{00000000-0005-0000-0000-000005090000}"/>
    <cellStyle name="Comma 4 2 6 4 3 2" xfId="14350" xr:uid="{194C9408-B989-4151-943F-7C2D31933CAC}"/>
    <cellStyle name="Comma 4 2 6 4 4" xfId="10137" xr:uid="{9D3B5038-5243-4A9F-9C7E-51AA621F32F6}"/>
    <cellStyle name="Comma 4 2 6 5" xfId="1962" xr:uid="{00000000-0005-0000-0000-000006090000}"/>
    <cellStyle name="Comma 4 2 6 5 2" xfId="4191" xr:uid="{00000000-0005-0000-0000-000007090000}"/>
    <cellStyle name="Comma 4 2 6 5 2 2" xfId="8413" xr:uid="{00000000-0005-0000-0000-000008090000}"/>
    <cellStyle name="Comma 4 2 6 5 2 2 2" xfId="16908" xr:uid="{D717FFAD-EACC-4562-BD22-76AAA07F2DE8}"/>
    <cellStyle name="Comma 4 2 6 5 2 3" xfId="12695" xr:uid="{CECD8D78-47B0-41FE-B021-328B7A78A3C6}"/>
    <cellStyle name="Comma 4 2 6 5 3" xfId="6268" xr:uid="{00000000-0005-0000-0000-000009090000}"/>
    <cellStyle name="Comma 4 2 6 5 3 2" xfId="14763" xr:uid="{224EC320-BE7B-438F-9E79-39D6BBD064F9}"/>
    <cellStyle name="Comma 4 2 6 5 4" xfId="10550" xr:uid="{99DF45C7-E9D7-4633-9E19-B43D30C31659}"/>
    <cellStyle name="Comma 4 2 6 6" xfId="2397" xr:uid="{00000000-0005-0000-0000-00000A090000}"/>
    <cellStyle name="Comma 4 2 6 6 2" xfId="6681" xr:uid="{00000000-0005-0000-0000-00000B090000}"/>
    <cellStyle name="Comma 4 2 6 6 2 2" xfId="15176" xr:uid="{7B4EC43B-641B-45B4-B60E-EBE5255383B0}"/>
    <cellStyle name="Comma 4 2 6 6 3" xfId="10963" xr:uid="{D405A9FB-B2FC-4A2F-86DE-157A96612CC4}"/>
    <cellStyle name="Comma 4 2 6 7" xfId="2366" xr:uid="{00000000-0005-0000-0000-00000C090000}"/>
    <cellStyle name="Comma 4 2 6 8" xfId="2775" xr:uid="{00000000-0005-0000-0000-00000D090000}"/>
    <cellStyle name="Comma 4 2 6 8 2" xfId="6998" xr:uid="{00000000-0005-0000-0000-00000E090000}"/>
    <cellStyle name="Comma 4 2 6 8 2 2" xfId="15493" xr:uid="{6EA4E4E4-DFD8-4453-BB49-C0D1AC7E1320}"/>
    <cellStyle name="Comma 4 2 6 8 3" xfId="11280" xr:uid="{F6DE0688-9BDE-4475-AB56-F5FD2A81ED75}"/>
    <cellStyle name="Comma 4 2 6 9" xfId="4615" xr:uid="{00000000-0005-0000-0000-00000F090000}"/>
    <cellStyle name="Comma 4 2 6 9 2" xfId="13111" xr:uid="{96D9515B-BCF1-4C66-B997-B286E13DD50C}"/>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94" xr:uid="{F8393459-2100-4CFA-9375-0CD137AF8158}"/>
    <cellStyle name="Comma 4 3 2 10 3" xfId="11281" xr:uid="{2CE1B226-AADE-483B-B892-F1BE81F6B5E7}"/>
    <cellStyle name="Comma 4 3 2 11" xfId="4616" xr:uid="{00000000-0005-0000-0000-000014090000}"/>
    <cellStyle name="Comma 4 3 2 11 2" xfId="13112" xr:uid="{6971FBE1-EC25-44D5-8574-368A1C1B19AE}"/>
    <cellStyle name="Comma 4 3 2 12" xfId="8807" xr:uid="{5C5EF314-D0DB-425B-AE7D-D52FEEE90EC1}"/>
    <cellStyle name="Comma 4 3 2 2" xfId="146" xr:uid="{00000000-0005-0000-0000-000015090000}"/>
    <cellStyle name="Comma 4 3 2 2 10" xfId="4617" xr:uid="{00000000-0005-0000-0000-000016090000}"/>
    <cellStyle name="Comma 4 3 2 2 10 2" xfId="13113" xr:uid="{0A15F898-2FB2-4F5B-BC48-057FCDF6D197}"/>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72" xr:uid="{DDAFEDA7-09D5-4CEA-B199-2BCBC4DF2E19}"/>
    <cellStyle name="Comma 4 3 2 2 2 2 2 3" xfId="11459" xr:uid="{87B367E8-6F69-4419-B77B-141F9122F63E}"/>
    <cellStyle name="Comma 4 3 2 2 2 2 3" xfId="5032" xr:uid="{00000000-0005-0000-0000-00001B090000}"/>
    <cellStyle name="Comma 4 3 2 2 2 2 3 2" xfId="13527" xr:uid="{C2FD965B-0024-4136-801E-88A74280C0D5}"/>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85" xr:uid="{E4ACA34A-1AB6-43E8-97A7-E66F06D211E5}"/>
    <cellStyle name="Comma 4 3 2 2 2 3 2 3" xfId="11872" xr:uid="{FD1E365F-D6EA-4D6F-B1C4-4F3A53DB1C95}"/>
    <cellStyle name="Comma 4 3 2 2 2 3 3" xfId="5445" xr:uid="{00000000-0005-0000-0000-00001F090000}"/>
    <cellStyle name="Comma 4 3 2 2 2 3 3 2" xfId="13940" xr:uid="{7CD2F52C-569C-4A27-9DC8-3B511994B525}"/>
    <cellStyle name="Comma 4 3 2 2 2 3 4" xfId="9727" xr:uid="{E34530ED-3999-4BAF-A604-4B86C2AFBB78}"/>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98" xr:uid="{10C75420-920B-4BE0-82A4-7AC77150E697}"/>
    <cellStyle name="Comma 4 3 2 2 2 4 2 3" xfId="12285" xr:uid="{4C751792-A222-4E17-A898-8A269CB96FAC}"/>
    <cellStyle name="Comma 4 3 2 2 2 4 3" xfId="5858" xr:uid="{00000000-0005-0000-0000-000023090000}"/>
    <cellStyle name="Comma 4 3 2 2 2 4 3 2" xfId="14353" xr:uid="{24C082BF-DD95-4ECD-B902-E04791B62D8C}"/>
    <cellStyle name="Comma 4 3 2 2 2 4 4" xfId="10140" xr:uid="{461FE0FA-1910-48A3-B797-7F4B9BE53EDE}"/>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911" xr:uid="{29B0B7DA-8582-4DAC-B874-C23D86691607}"/>
    <cellStyle name="Comma 4 3 2 2 2 5 2 3" xfId="12698" xr:uid="{C48781EE-0C50-4581-99B6-E0013633270A}"/>
    <cellStyle name="Comma 4 3 2 2 2 5 3" xfId="6271" xr:uid="{00000000-0005-0000-0000-000027090000}"/>
    <cellStyle name="Comma 4 3 2 2 2 5 3 2" xfId="14766" xr:uid="{23079DC2-7D32-440E-9BD6-12B8D97FBAE5}"/>
    <cellStyle name="Comma 4 3 2 2 2 5 4" xfId="10553" xr:uid="{FAF8790D-A1C9-457D-AA2E-7750F8172607}"/>
    <cellStyle name="Comma 4 3 2 2 2 6" xfId="2400" xr:uid="{00000000-0005-0000-0000-000028090000}"/>
    <cellStyle name="Comma 4 3 2 2 2 6 2" xfId="6684" xr:uid="{00000000-0005-0000-0000-000029090000}"/>
    <cellStyle name="Comma 4 3 2 2 2 6 2 2" xfId="15179" xr:uid="{E78C10FF-4359-4BCC-9B0B-812C434645EC}"/>
    <cellStyle name="Comma 4 3 2 2 2 6 3" xfId="10966" xr:uid="{8100DFEE-2A9C-4D19-983A-3C18072C826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96" xr:uid="{BC9F970D-9341-49EE-B798-A07643CCCAE8}"/>
    <cellStyle name="Comma 4 3 2 2 2 8 3" xfId="11283" xr:uid="{7629C026-221C-4C20-B08E-09B5B5CBF184}"/>
    <cellStyle name="Comma 4 3 2 2 2 9" xfId="4618" xr:uid="{00000000-0005-0000-0000-00002D090000}"/>
    <cellStyle name="Comma 4 3 2 2 2 9 2" xfId="13114" xr:uid="{117067DF-63B3-443F-BED9-3C41F7ADC551}"/>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71" xr:uid="{8D3BAD8D-36AB-4DDA-AFFD-25C6FA3BC9B0}"/>
    <cellStyle name="Comma 4 3 2 2 3 2 3" xfId="11458" xr:uid="{9659DAB4-1DA0-422B-BA81-446A95FB0B72}"/>
    <cellStyle name="Comma 4 3 2 2 3 3" xfId="5031" xr:uid="{00000000-0005-0000-0000-000031090000}"/>
    <cellStyle name="Comma 4 3 2 2 3 3 2" xfId="13526" xr:uid="{F11F42C0-C4F0-4AB5-933D-00B0013F7489}"/>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84" xr:uid="{3EE244C4-67FA-4726-B340-42B32EA08D5A}"/>
    <cellStyle name="Comma 4 3 2 2 4 2 3" xfId="11871" xr:uid="{BA2B0DC4-17E6-420A-B806-4C6CD19DEBA3}"/>
    <cellStyle name="Comma 4 3 2 2 4 3" xfId="5444" xr:uid="{00000000-0005-0000-0000-000035090000}"/>
    <cellStyle name="Comma 4 3 2 2 4 3 2" xfId="13939" xr:uid="{2185E757-56D5-405E-884B-629985EBE3C8}"/>
    <cellStyle name="Comma 4 3 2 2 4 4" xfId="9726" xr:uid="{7033BEEF-7BAA-479D-B915-8B8F2FE4740C}"/>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97" xr:uid="{3739D248-765A-4E68-A4B3-D49B32DB4C93}"/>
    <cellStyle name="Comma 4 3 2 2 5 2 3" xfId="12284" xr:uid="{0E6815AE-E1E1-462B-AD2B-79F2778FE055}"/>
    <cellStyle name="Comma 4 3 2 2 5 3" xfId="5857" xr:uid="{00000000-0005-0000-0000-000039090000}"/>
    <cellStyle name="Comma 4 3 2 2 5 3 2" xfId="14352" xr:uid="{639878CB-F9A5-4B9A-81B3-486250D5A483}"/>
    <cellStyle name="Comma 4 3 2 2 5 4" xfId="10139" xr:uid="{0B6B54AB-3D94-4F27-810A-B6224F5415F2}"/>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910" xr:uid="{A2234692-A851-4247-8A69-C520904CA4AB}"/>
    <cellStyle name="Comma 4 3 2 2 6 2 3" xfId="12697" xr:uid="{461DD884-9F9D-4F47-8C68-73FADC707B9C}"/>
    <cellStyle name="Comma 4 3 2 2 6 3" xfId="6270" xr:uid="{00000000-0005-0000-0000-00003D090000}"/>
    <cellStyle name="Comma 4 3 2 2 6 3 2" xfId="14765" xr:uid="{F71E9824-33E5-4CE5-8E76-2D4AAF7DC2BA}"/>
    <cellStyle name="Comma 4 3 2 2 6 4" xfId="10552" xr:uid="{D4BC26CF-77B8-4EE3-ACAD-7E6CDB33155F}"/>
    <cellStyle name="Comma 4 3 2 2 7" xfId="2399" xr:uid="{00000000-0005-0000-0000-00003E090000}"/>
    <cellStyle name="Comma 4 3 2 2 7 2" xfId="6683" xr:uid="{00000000-0005-0000-0000-00003F090000}"/>
    <cellStyle name="Comma 4 3 2 2 7 2 2" xfId="15178" xr:uid="{5CDDFD0B-E221-4890-9254-221DDCB09E86}"/>
    <cellStyle name="Comma 4 3 2 2 7 3" xfId="10965" xr:uid="{5FC9B926-56CE-4D0F-A6D3-01EC79244DD7}"/>
    <cellStyle name="Comma 4 3 2 2 8" xfId="2364" xr:uid="{00000000-0005-0000-0000-000040090000}"/>
    <cellStyle name="Comma 4 3 2 2 9" xfId="2777" xr:uid="{00000000-0005-0000-0000-000041090000}"/>
    <cellStyle name="Comma 4 3 2 2 9 2" xfId="7000" xr:uid="{00000000-0005-0000-0000-000042090000}"/>
    <cellStyle name="Comma 4 3 2 2 9 2 2" xfId="15495" xr:uid="{327836D3-CF01-40FF-A11B-B34664300393}"/>
    <cellStyle name="Comma 4 3 2 2 9 3" xfId="11282" xr:uid="{1DC06E9D-A890-4708-9C4D-3969C0DA6467}"/>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73" xr:uid="{0271343F-3812-4A13-8C97-713FBC565D7E}"/>
    <cellStyle name="Comma 4 3 2 3 2 2 3" xfId="11460" xr:uid="{3010077C-C232-4963-B9D0-35D5F5D6B82F}"/>
    <cellStyle name="Comma 4 3 2 3 2 3" xfId="5033" xr:uid="{00000000-0005-0000-0000-000047090000}"/>
    <cellStyle name="Comma 4 3 2 3 2 3 2" xfId="13528" xr:uid="{654DDD91-767B-4C15-8A18-A37B7175ABFA}"/>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86" xr:uid="{EFCD05C6-3608-448E-A87B-F806C0F5C1D9}"/>
    <cellStyle name="Comma 4 3 2 3 3 2 3" xfId="11873" xr:uid="{CE1D7C20-0120-4E71-A311-678A4E26F764}"/>
    <cellStyle name="Comma 4 3 2 3 3 3" xfId="5446" xr:uid="{00000000-0005-0000-0000-00004B090000}"/>
    <cellStyle name="Comma 4 3 2 3 3 3 2" xfId="13941" xr:uid="{7FA6348A-1236-4092-B76B-BB04012D281C}"/>
    <cellStyle name="Comma 4 3 2 3 3 4" xfId="9728" xr:uid="{FC4474A8-0997-416D-A583-96D7D7D9685E}"/>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99" xr:uid="{6A86084B-DDB1-495D-98C4-F57A1D2145FC}"/>
    <cellStyle name="Comma 4 3 2 3 4 2 3" xfId="12286" xr:uid="{51D58C75-05FC-47D7-A84F-B25AD4C48E1C}"/>
    <cellStyle name="Comma 4 3 2 3 4 3" xfId="5859" xr:uid="{00000000-0005-0000-0000-00004F090000}"/>
    <cellStyle name="Comma 4 3 2 3 4 3 2" xfId="14354" xr:uid="{EE2DD292-51C9-450F-8A11-5C636F545E9D}"/>
    <cellStyle name="Comma 4 3 2 3 4 4" xfId="10141" xr:uid="{595F5A75-7353-4EFB-A754-33CFD2EFF08C}"/>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912" xr:uid="{9B25F437-E9FE-435A-9B8B-05DDA03E1F49}"/>
    <cellStyle name="Comma 4 3 2 3 5 2 3" xfId="12699" xr:uid="{BFE33C0A-9FA3-433A-8BEE-425607A5CD29}"/>
    <cellStyle name="Comma 4 3 2 3 5 3" xfId="6272" xr:uid="{00000000-0005-0000-0000-000053090000}"/>
    <cellStyle name="Comma 4 3 2 3 5 3 2" xfId="14767" xr:uid="{7B104000-ED98-403A-8125-D7573D43280F}"/>
    <cellStyle name="Comma 4 3 2 3 5 4" xfId="10554" xr:uid="{5C435FF6-C781-4B82-BBFF-5B12EA1F45AD}"/>
    <cellStyle name="Comma 4 3 2 3 6" xfId="2401" xr:uid="{00000000-0005-0000-0000-000054090000}"/>
    <cellStyle name="Comma 4 3 2 3 6 2" xfId="6685" xr:uid="{00000000-0005-0000-0000-000055090000}"/>
    <cellStyle name="Comma 4 3 2 3 6 2 2" xfId="15180" xr:uid="{4E4992BD-45DB-4511-AF37-54A55E4312ED}"/>
    <cellStyle name="Comma 4 3 2 3 6 3" xfId="10967" xr:uid="{163336E6-CE3A-40AA-AA68-EBE949247CA0}"/>
    <cellStyle name="Comma 4 3 2 3 7" xfId="2362" xr:uid="{00000000-0005-0000-0000-000056090000}"/>
    <cellStyle name="Comma 4 3 2 3 8" xfId="2779" xr:uid="{00000000-0005-0000-0000-000057090000}"/>
    <cellStyle name="Comma 4 3 2 3 8 2" xfId="7002" xr:uid="{00000000-0005-0000-0000-000058090000}"/>
    <cellStyle name="Comma 4 3 2 3 8 2 2" xfId="15497" xr:uid="{DB8E9605-5C3A-4528-9044-137045204946}"/>
    <cellStyle name="Comma 4 3 2 3 8 3" xfId="11284" xr:uid="{F40EC87E-7EB2-4679-838E-6178F5ED7A20}"/>
    <cellStyle name="Comma 4 3 2 3 9" xfId="4619" xr:uid="{00000000-0005-0000-0000-000059090000}"/>
    <cellStyle name="Comma 4 3 2 3 9 2" xfId="13115" xr:uid="{1A3FD711-9D16-49EB-A507-293001F49F97}"/>
    <cellStyle name="Comma 4 3 2 4" xfId="682" xr:uid="{00000000-0005-0000-0000-00005A090000}"/>
    <cellStyle name="Comma 4 3 2 4 2" xfId="2953" xr:uid="{00000000-0005-0000-0000-00005B090000}"/>
    <cellStyle name="Comma 4 3 2 4 2 2" xfId="7175" xr:uid="{00000000-0005-0000-0000-00005C090000}"/>
    <cellStyle name="Comma 4 3 2 4 2 2 2" xfId="15670" xr:uid="{6A530F12-C328-4C9C-8B94-DB0018F879FE}"/>
    <cellStyle name="Comma 4 3 2 4 2 3" xfId="11457" xr:uid="{7B9BC09C-27B1-406B-AE86-33C2C69C24E2}"/>
    <cellStyle name="Comma 4 3 2 4 3" xfId="5030" xr:uid="{00000000-0005-0000-0000-00005D090000}"/>
    <cellStyle name="Comma 4 3 2 4 3 2" xfId="13525" xr:uid="{E3F7C6F9-170E-46CC-A590-CF6AFDBA80C6}"/>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2 2 2" xfId="16083" xr:uid="{E9F383FE-8E40-4ECD-8EAA-94BBFAE8F9D9}"/>
    <cellStyle name="Comma 4 3 2 5 2 3" xfId="11870" xr:uid="{BA4CD534-97B9-4C00-BD44-84D6CACEE861}"/>
    <cellStyle name="Comma 4 3 2 5 3" xfId="5443" xr:uid="{00000000-0005-0000-0000-000061090000}"/>
    <cellStyle name="Comma 4 3 2 5 3 2" xfId="13938" xr:uid="{BDB2862F-A83F-42FF-AFD7-43DD46DA12A1}"/>
    <cellStyle name="Comma 4 3 2 5 4" xfId="9725" xr:uid="{2BECEA82-35E9-4DC8-BC25-259807EC0DBC}"/>
    <cellStyle name="Comma 4 3 2 6" xfId="1549" xr:uid="{00000000-0005-0000-0000-000062090000}"/>
    <cellStyle name="Comma 4 3 2 6 2" xfId="3779" xr:uid="{00000000-0005-0000-0000-000063090000}"/>
    <cellStyle name="Comma 4 3 2 6 2 2" xfId="8001" xr:uid="{00000000-0005-0000-0000-000064090000}"/>
    <cellStyle name="Comma 4 3 2 6 2 2 2" xfId="16496" xr:uid="{305A0B62-700E-45C3-B8FF-82C5D0FE1D71}"/>
    <cellStyle name="Comma 4 3 2 6 2 3" xfId="12283" xr:uid="{C7E12D67-D4F0-4B7C-BF0D-9BB6D80F66C1}"/>
    <cellStyle name="Comma 4 3 2 6 3" xfId="5856" xr:uid="{00000000-0005-0000-0000-000065090000}"/>
    <cellStyle name="Comma 4 3 2 6 3 2" xfId="14351" xr:uid="{9F781580-96CD-46ED-B457-5318F033CF7B}"/>
    <cellStyle name="Comma 4 3 2 6 4" xfId="10138" xr:uid="{BFF5E211-F9DA-44B4-BD4F-6D987002BD2B}"/>
    <cellStyle name="Comma 4 3 2 7" xfId="1963" xr:uid="{00000000-0005-0000-0000-000066090000}"/>
    <cellStyle name="Comma 4 3 2 7 2" xfId="4192" xr:uid="{00000000-0005-0000-0000-000067090000}"/>
    <cellStyle name="Comma 4 3 2 7 2 2" xfId="8414" xr:uid="{00000000-0005-0000-0000-000068090000}"/>
    <cellStyle name="Comma 4 3 2 7 2 2 2" xfId="16909" xr:uid="{8F7ABA4D-53D2-4FEF-AA63-162FCBB347BF}"/>
    <cellStyle name="Comma 4 3 2 7 2 3" xfId="12696" xr:uid="{7CB288B0-0F56-46F8-A505-598C9C5ADABD}"/>
    <cellStyle name="Comma 4 3 2 7 3" xfId="6269" xr:uid="{00000000-0005-0000-0000-000069090000}"/>
    <cellStyle name="Comma 4 3 2 7 3 2" xfId="14764" xr:uid="{4133EF42-0C2F-49CA-8F37-C5270121700C}"/>
    <cellStyle name="Comma 4 3 2 7 4" xfId="10551" xr:uid="{209855EF-171F-4204-97C1-0DCFBB15790E}"/>
    <cellStyle name="Comma 4 3 2 8" xfId="2398" xr:uid="{00000000-0005-0000-0000-00006A090000}"/>
    <cellStyle name="Comma 4 3 2 8 2" xfId="6682" xr:uid="{00000000-0005-0000-0000-00006B090000}"/>
    <cellStyle name="Comma 4 3 2 8 2 2" xfId="15177" xr:uid="{1B8B8A8F-E125-4F43-A7EE-FD47B536180D}"/>
    <cellStyle name="Comma 4 3 2 8 3" xfId="10964" xr:uid="{427B2AAE-5015-4805-904C-5F7FFD45B1A9}"/>
    <cellStyle name="Comma 4 3 2 9" xfId="2365" xr:uid="{00000000-0005-0000-0000-00006C090000}"/>
    <cellStyle name="Comma 4 3 3" xfId="149" xr:uid="{00000000-0005-0000-0000-00006D090000}"/>
    <cellStyle name="Comma 4 3 3 10" xfId="4620" xr:uid="{00000000-0005-0000-0000-00006E090000}"/>
    <cellStyle name="Comma 4 3 3 10 2" xfId="13116" xr:uid="{ED681E8C-164F-4F83-ADB6-8FA4F79F1CB3}"/>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75" xr:uid="{582CFC5F-9C0C-49C0-ABB7-5447B1EF429C}"/>
    <cellStyle name="Comma 4 3 3 2 2 2 3" xfId="11462" xr:uid="{E5E96C95-5890-473C-934F-B0CFCBF424AD}"/>
    <cellStyle name="Comma 4 3 3 2 2 3" xfId="5035" xr:uid="{00000000-0005-0000-0000-000073090000}"/>
    <cellStyle name="Comma 4 3 3 2 2 3 2" xfId="13530" xr:uid="{03FFAE71-76E6-4A92-8EBA-87CEC89B469F}"/>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88" xr:uid="{F236817F-1394-448E-BE92-129F097B8F76}"/>
    <cellStyle name="Comma 4 3 3 2 3 2 3" xfId="11875" xr:uid="{E3B2D51B-4CBB-4495-AB72-B8036124D359}"/>
    <cellStyle name="Comma 4 3 3 2 3 3" xfId="5448" xr:uid="{00000000-0005-0000-0000-000077090000}"/>
    <cellStyle name="Comma 4 3 3 2 3 3 2" xfId="13943" xr:uid="{37E57AD4-7E3F-4180-9424-2A212E4C436D}"/>
    <cellStyle name="Comma 4 3 3 2 3 4" xfId="9730" xr:uid="{CF48AD6E-8165-4969-B4F4-537AF6880A8E}"/>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501" xr:uid="{B7A79C15-D691-47BE-ABAF-C865F1FF0E55}"/>
    <cellStyle name="Comma 4 3 3 2 4 2 3" xfId="12288" xr:uid="{3076E05F-6FE9-4702-AF51-16CB14AD7B2C}"/>
    <cellStyle name="Comma 4 3 3 2 4 3" xfId="5861" xr:uid="{00000000-0005-0000-0000-00007B090000}"/>
    <cellStyle name="Comma 4 3 3 2 4 3 2" xfId="14356" xr:uid="{CA8BDCCB-EBD9-4A50-B3AD-3BD27225FB5D}"/>
    <cellStyle name="Comma 4 3 3 2 4 4" xfId="10143" xr:uid="{B89D7B3D-FF92-40AC-9C9D-BD34840475DB}"/>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914" xr:uid="{6616633A-3D87-4DAB-B911-3199BD95BA89}"/>
    <cellStyle name="Comma 4 3 3 2 5 2 3" xfId="12701" xr:uid="{AD1208ED-04E5-492A-8C82-E3BEB85154E0}"/>
    <cellStyle name="Comma 4 3 3 2 5 3" xfId="6274" xr:uid="{00000000-0005-0000-0000-00007F090000}"/>
    <cellStyle name="Comma 4 3 3 2 5 3 2" xfId="14769" xr:uid="{25828D7A-1A31-4470-9116-7466CEB6E717}"/>
    <cellStyle name="Comma 4 3 3 2 5 4" xfId="10556" xr:uid="{24141223-C063-4E21-8C40-CBE4C7F4B025}"/>
    <cellStyle name="Comma 4 3 3 2 6" xfId="2403" xr:uid="{00000000-0005-0000-0000-000080090000}"/>
    <cellStyle name="Comma 4 3 3 2 6 2" xfId="6687" xr:uid="{00000000-0005-0000-0000-000081090000}"/>
    <cellStyle name="Comma 4 3 3 2 6 2 2" xfId="15182" xr:uid="{52B4BA7A-DD25-491E-9FE3-0437643BA959}"/>
    <cellStyle name="Comma 4 3 3 2 6 3" xfId="10969" xr:uid="{15261767-9F44-4C1B-B9A1-3FC540A7ED75}"/>
    <cellStyle name="Comma 4 3 3 2 7" xfId="2360" xr:uid="{00000000-0005-0000-0000-000082090000}"/>
    <cellStyle name="Comma 4 3 3 2 8" xfId="2781" xr:uid="{00000000-0005-0000-0000-000083090000}"/>
    <cellStyle name="Comma 4 3 3 2 8 2" xfId="7004" xr:uid="{00000000-0005-0000-0000-000084090000}"/>
    <cellStyle name="Comma 4 3 3 2 8 2 2" xfId="15499" xr:uid="{9B58E573-E1E4-4A2C-98AE-5C9665A3292A}"/>
    <cellStyle name="Comma 4 3 3 2 8 3" xfId="11286" xr:uid="{0712394E-FC7B-49E2-BCA8-C045CA0FD8EF}"/>
    <cellStyle name="Comma 4 3 3 2 9" xfId="4621" xr:uid="{00000000-0005-0000-0000-000085090000}"/>
    <cellStyle name="Comma 4 3 3 2 9 2" xfId="13117" xr:uid="{53BD070F-E31B-475C-99C1-A809ACC5961B}"/>
    <cellStyle name="Comma 4 3 3 3" xfId="686" xr:uid="{00000000-0005-0000-0000-000086090000}"/>
    <cellStyle name="Comma 4 3 3 3 2" xfId="2957" xr:uid="{00000000-0005-0000-0000-000087090000}"/>
    <cellStyle name="Comma 4 3 3 3 2 2" xfId="7179" xr:uid="{00000000-0005-0000-0000-000088090000}"/>
    <cellStyle name="Comma 4 3 3 3 2 2 2" xfId="15674" xr:uid="{B00794F8-A04A-4B31-8996-6D13A80EF33E}"/>
    <cellStyle name="Comma 4 3 3 3 2 3" xfId="11461" xr:uid="{1A4E918C-06FF-4A3A-A748-6C784C3E3E2B}"/>
    <cellStyle name="Comma 4 3 3 3 3" xfId="5034" xr:uid="{00000000-0005-0000-0000-000089090000}"/>
    <cellStyle name="Comma 4 3 3 3 3 2" xfId="13529" xr:uid="{73E7016E-1B64-4499-8595-4F65ADAB0EBB}"/>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2 2 2" xfId="16087" xr:uid="{8E6A7D31-AAAE-4721-9C86-5F0C3814BD27}"/>
    <cellStyle name="Comma 4 3 3 4 2 3" xfId="11874" xr:uid="{68FAF9C4-396A-4FE3-A7C8-49AFC0B1371D}"/>
    <cellStyle name="Comma 4 3 3 4 3" xfId="5447" xr:uid="{00000000-0005-0000-0000-00008D090000}"/>
    <cellStyle name="Comma 4 3 3 4 3 2" xfId="13942" xr:uid="{069A4BFA-43B8-4E31-BE19-168AF725212D}"/>
    <cellStyle name="Comma 4 3 3 4 4" xfId="9729" xr:uid="{6FB5BC65-BB11-483C-9587-98F1980BF746}"/>
    <cellStyle name="Comma 4 3 3 5" xfId="1553" xr:uid="{00000000-0005-0000-0000-00008E090000}"/>
    <cellStyle name="Comma 4 3 3 5 2" xfId="3783" xr:uid="{00000000-0005-0000-0000-00008F090000}"/>
    <cellStyle name="Comma 4 3 3 5 2 2" xfId="8005" xr:uid="{00000000-0005-0000-0000-000090090000}"/>
    <cellStyle name="Comma 4 3 3 5 2 2 2" xfId="16500" xr:uid="{0D7B871C-688C-4916-96EA-C9124505D2F0}"/>
    <cellStyle name="Comma 4 3 3 5 2 3" xfId="12287" xr:uid="{51215568-D53C-4BD6-B1D3-2359EB78D836}"/>
    <cellStyle name="Comma 4 3 3 5 3" xfId="5860" xr:uid="{00000000-0005-0000-0000-000091090000}"/>
    <cellStyle name="Comma 4 3 3 5 3 2" xfId="14355" xr:uid="{4DE69B9B-667F-4077-AD1A-144279D2CA6B}"/>
    <cellStyle name="Comma 4 3 3 5 4" xfId="10142" xr:uid="{E48CAF84-680E-46A4-8372-0FF9F3CE04D0}"/>
    <cellStyle name="Comma 4 3 3 6" xfId="1967" xr:uid="{00000000-0005-0000-0000-000092090000}"/>
    <cellStyle name="Comma 4 3 3 6 2" xfId="4196" xr:uid="{00000000-0005-0000-0000-000093090000}"/>
    <cellStyle name="Comma 4 3 3 6 2 2" xfId="8418" xr:uid="{00000000-0005-0000-0000-000094090000}"/>
    <cellStyle name="Comma 4 3 3 6 2 2 2" xfId="16913" xr:uid="{EFA83850-1420-44B8-A91E-0146C69E4988}"/>
    <cellStyle name="Comma 4 3 3 6 2 3" xfId="12700" xr:uid="{35BF31C3-62FA-4028-8493-ACCFC754A052}"/>
    <cellStyle name="Comma 4 3 3 6 3" xfId="6273" xr:uid="{00000000-0005-0000-0000-000095090000}"/>
    <cellStyle name="Comma 4 3 3 6 3 2" xfId="14768" xr:uid="{38D7A596-5620-490D-B180-EAA1206BD87F}"/>
    <cellStyle name="Comma 4 3 3 6 4" xfId="10555" xr:uid="{DEEF3E66-F384-4AB1-9DE0-ADB870791DB5}"/>
    <cellStyle name="Comma 4 3 3 7" xfId="2402" xr:uid="{00000000-0005-0000-0000-000096090000}"/>
    <cellStyle name="Comma 4 3 3 7 2" xfId="6686" xr:uid="{00000000-0005-0000-0000-000097090000}"/>
    <cellStyle name="Comma 4 3 3 7 2 2" xfId="15181" xr:uid="{D537E5B5-7CCA-4D10-B2D2-D1A649EA9DFD}"/>
    <cellStyle name="Comma 4 3 3 7 3" xfId="10968" xr:uid="{86910D42-8253-4352-868C-7305CC576AD5}"/>
    <cellStyle name="Comma 4 3 3 8" xfId="2361" xr:uid="{00000000-0005-0000-0000-000098090000}"/>
    <cellStyle name="Comma 4 3 3 9" xfId="2780" xr:uid="{00000000-0005-0000-0000-000099090000}"/>
    <cellStyle name="Comma 4 3 3 9 2" xfId="7003" xr:uid="{00000000-0005-0000-0000-00009A090000}"/>
    <cellStyle name="Comma 4 3 3 9 2 2" xfId="15498" xr:uid="{8EE8AD40-3AC5-4FF8-BADA-8A4A2D672340}"/>
    <cellStyle name="Comma 4 3 3 9 3" xfId="11285" xr:uid="{8716C486-52D4-48BA-AFCB-FACB1FE307FD}"/>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2 2 2" xfId="15676" xr:uid="{06106A1A-2359-43AC-B0D4-4FA121FD458C}"/>
    <cellStyle name="Comma 4 3 4 2 2 3" xfId="11463" xr:uid="{A3A37E35-02F0-44F9-8450-5B484D44170A}"/>
    <cellStyle name="Comma 4 3 4 2 3" xfId="5036" xr:uid="{00000000-0005-0000-0000-00009F090000}"/>
    <cellStyle name="Comma 4 3 4 2 3 2" xfId="13531" xr:uid="{FFB32488-AE20-414E-BFE7-4D6F32C409BE}"/>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2 2 2" xfId="16089" xr:uid="{8F0C9F99-3386-45A8-87A6-3AB9C7F63855}"/>
    <cellStyle name="Comma 4 3 4 3 2 3" xfId="11876" xr:uid="{9085C204-FE55-48E1-BBD6-C9702EDBE280}"/>
    <cellStyle name="Comma 4 3 4 3 3" xfId="5449" xr:uid="{00000000-0005-0000-0000-0000A3090000}"/>
    <cellStyle name="Comma 4 3 4 3 3 2" xfId="13944" xr:uid="{A6D427BD-0BED-440A-94D3-3B59381AE8EB}"/>
    <cellStyle name="Comma 4 3 4 3 4" xfId="9731" xr:uid="{9E834E6E-F600-44ED-B5A3-4CFFEBD404CB}"/>
    <cellStyle name="Comma 4 3 4 4" xfId="1555" xr:uid="{00000000-0005-0000-0000-0000A4090000}"/>
    <cellStyle name="Comma 4 3 4 4 2" xfId="3785" xr:uid="{00000000-0005-0000-0000-0000A5090000}"/>
    <cellStyle name="Comma 4 3 4 4 2 2" xfId="8007" xr:uid="{00000000-0005-0000-0000-0000A6090000}"/>
    <cellStyle name="Comma 4 3 4 4 2 2 2" xfId="16502" xr:uid="{17766035-C74B-4B3A-A0BD-776679F409D1}"/>
    <cellStyle name="Comma 4 3 4 4 2 3" xfId="12289" xr:uid="{A38B1006-6279-45DB-93E5-E5F4796E855E}"/>
    <cellStyle name="Comma 4 3 4 4 3" xfId="5862" xr:uid="{00000000-0005-0000-0000-0000A7090000}"/>
    <cellStyle name="Comma 4 3 4 4 3 2" xfId="14357" xr:uid="{D8E9D232-0E0C-42E8-B93B-5BC3D006BFF7}"/>
    <cellStyle name="Comma 4 3 4 4 4" xfId="10144" xr:uid="{F5A71D7A-307E-4B2C-8EDA-AE9A15311DCB}"/>
    <cellStyle name="Comma 4 3 4 5" xfId="1969" xr:uid="{00000000-0005-0000-0000-0000A8090000}"/>
    <cellStyle name="Comma 4 3 4 5 2" xfId="4198" xr:uid="{00000000-0005-0000-0000-0000A9090000}"/>
    <cellStyle name="Comma 4 3 4 5 2 2" xfId="8420" xr:uid="{00000000-0005-0000-0000-0000AA090000}"/>
    <cellStyle name="Comma 4 3 4 5 2 2 2" xfId="16915" xr:uid="{BE69D245-2ACB-4AB1-9324-15D6BE4728F1}"/>
    <cellStyle name="Comma 4 3 4 5 2 3" xfId="12702" xr:uid="{9FC06AA9-1C46-402A-962B-23D7ADCF41AE}"/>
    <cellStyle name="Comma 4 3 4 5 3" xfId="6275" xr:uid="{00000000-0005-0000-0000-0000AB090000}"/>
    <cellStyle name="Comma 4 3 4 5 3 2" xfId="14770" xr:uid="{26ABCA6D-B660-4125-A9AC-EE18897917D8}"/>
    <cellStyle name="Comma 4 3 4 5 4" xfId="10557" xr:uid="{EB8B7BC9-66D5-455C-8A8E-1FABF8C2C5C6}"/>
    <cellStyle name="Comma 4 3 4 6" xfId="2404" xr:uid="{00000000-0005-0000-0000-0000AC090000}"/>
    <cellStyle name="Comma 4 3 4 6 2" xfId="6688" xr:uid="{00000000-0005-0000-0000-0000AD090000}"/>
    <cellStyle name="Comma 4 3 4 6 2 2" xfId="15183" xr:uid="{7188B59B-CF0A-4EA2-BBD4-39B2E7325892}"/>
    <cellStyle name="Comma 4 3 4 6 3" xfId="10970" xr:uid="{1820276F-4DC9-4893-BF9F-A9EB47CA3FDB}"/>
    <cellStyle name="Comma 4 3 4 7" xfId="2700" xr:uid="{00000000-0005-0000-0000-0000AE090000}"/>
    <cellStyle name="Comma 4 3 4 8" xfId="2782" xr:uid="{00000000-0005-0000-0000-0000AF090000}"/>
    <cellStyle name="Comma 4 3 4 8 2" xfId="7005" xr:uid="{00000000-0005-0000-0000-0000B0090000}"/>
    <cellStyle name="Comma 4 3 4 8 2 2" xfId="15500" xr:uid="{036D7BEC-4142-483F-9958-1AD71498DE72}"/>
    <cellStyle name="Comma 4 3 4 8 3" xfId="11287" xr:uid="{2FCE9170-DB6F-476F-81B9-67EDA790351C}"/>
    <cellStyle name="Comma 4 3 4 9" xfId="4622" xr:uid="{00000000-0005-0000-0000-0000B1090000}"/>
    <cellStyle name="Comma 4 3 4 9 2" xfId="13118" xr:uid="{BDF60C69-0D37-40CA-861D-7CCB95C545D3}"/>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2 2 2" xfId="15677" xr:uid="{623A7AAB-79B5-421D-A66A-D658E64AE32B}"/>
    <cellStyle name="Comma 4 3 5 2 2 3" xfId="11464" xr:uid="{DEED110F-1471-4AF0-AABF-6A5DC41E0644}"/>
    <cellStyle name="Comma 4 3 5 2 3" xfId="5037" xr:uid="{00000000-0005-0000-0000-0000B6090000}"/>
    <cellStyle name="Comma 4 3 5 2 3 2" xfId="13532" xr:uid="{BF359B29-C76C-42A7-987B-26B00D1FFB19}"/>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2 2 2" xfId="16090" xr:uid="{459CA296-8AFF-452F-8538-227810CA7C33}"/>
    <cellStyle name="Comma 4 3 5 3 2 3" xfId="11877" xr:uid="{85310DB3-AE73-44AD-8864-ADBC731DEE16}"/>
    <cellStyle name="Comma 4 3 5 3 3" xfId="5450" xr:uid="{00000000-0005-0000-0000-0000BA090000}"/>
    <cellStyle name="Comma 4 3 5 3 3 2" xfId="13945" xr:uid="{3E2E7CCF-3580-4BEF-83D9-9FA9C7B3BE41}"/>
    <cellStyle name="Comma 4 3 5 3 4" xfId="9732" xr:uid="{DBFFBAB9-F6A9-4DFC-9B59-5289B3BC2CEF}"/>
    <cellStyle name="Comma 4 3 5 4" xfId="1556" xr:uid="{00000000-0005-0000-0000-0000BB090000}"/>
    <cellStyle name="Comma 4 3 5 4 2" xfId="3786" xr:uid="{00000000-0005-0000-0000-0000BC090000}"/>
    <cellStyle name="Comma 4 3 5 4 2 2" xfId="8008" xr:uid="{00000000-0005-0000-0000-0000BD090000}"/>
    <cellStyle name="Comma 4 3 5 4 2 2 2" xfId="16503" xr:uid="{608CE5FE-AC23-4C3B-9DD6-D5FB30EA54CD}"/>
    <cellStyle name="Comma 4 3 5 4 2 3" xfId="12290" xr:uid="{001A9FA2-581A-4FA6-BCD1-DE17797E086D}"/>
    <cellStyle name="Comma 4 3 5 4 3" xfId="5863" xr:uid="{00000000-0005-0000-0000-0000BE090000}"/>
    <cellStyle name="Comma 4 3 5 4 3 2" xfId="14358" xr:uid="{FD17A4EC-8FB1-4BA8-A06C-A7A8D28768E1}"/>
    <cellStyle name="Comma 4 3 5 4 4" xfId="10145" xr:uid="{CEE6931E-D910-4CDA-8E84-DD5AE8C75892}"/>
    <cellStyle name="Comma 4 3 5 5" xfId="1970" xr:uid="{00000000-0005-0000-0000-0000BF090000}"/>
    <cellStyle name="Comma 4 3 5 5 2" xfId="4199" xr:uid="{00000000-0005-0000-0000-0000C0090000}"/>
    <cellStyle name="Comma 4 3 5 5 2 2" xfId="8421" xr:uid="{00000000-0005-0000-0000-0000C1090000}"/>
    <cellStyle name="Comma 4 3 5 5 2 2 2" xfId="16916" xr:uid="{AF787DB1-090C-4958-892C-47FDF5DFB8D7}"/>
    <cellStyle name="Comma 4 3 5 5 2 3" xfId="12703" xr:uid="{6221CB5B-6306-4482-B96B-D33D70D25BEC}"/>
    <cellStyle name="Comma 4 3 5 5 3" xfId="6276" xr:uid="{00000000-0005-0000-0000-0000C2090000}"/>
    <cellStyle name="Comma 4 3 5 5 3 2" xfId="14771" xr:uid="{95A57B9C-9881-4855-87F5-CC4BE3EDB819}"/>
    <cellStyle name="Comma 4 3 5 5 4" xfId="10558" xr:uid="{C59B8F40-A7A0-4486-943C-C50863F93140}"/>
    <cellStyle name="Comma 4 3 5 6" xfId="2405" xr:uid="{00000000-0005-0000-0000-0000C3090000}"/>
    <cellStyle name="Comma 4 3 5 6 2" xfId="6689" xr:uid="{00000000-0005-0000-0000-0000C4090000}"/>
    <cellStyle name="Comma 4 3 5 6 2 2" xfId="15184" xr:uid="{8F4C79B3-98CD-4CBA-9F72-B46F6974D49A}"/>
    <cellStyle name="Comma 4 3 5 6 3" xfId="10971" xr:uid="{D131CAED-BB60-4C83-978E-D76895F120A1}"/>
    <cellStyle name="Comma 4 3 5 7" xfId="2701" xr:uid="{00000000-0005-0000-0000-0000C5090000}"/>
    <cellStyle name="Comma 4 3 5 8" xfId="2783" xr:uid="{00000000-0005-0000-0000-0000C6090000}"/>
    <cellStyle name="Comma 4 3 5 8 2" xfId="7006" xr:uid="{00000000-0005-0000-0000-0000C7090000}"/>
    <cellStyle name="Comma 4 3 5 8 2 2" xfId="15501" xr:uid="{0DBE4E65-925A-4D79-A5B5-63FF7B587378}"/>
    <cellStyle name="Comma 4 3 5 8 3" xfId="11288" xr:uid="{C86020A6-3958-4421-8F82-A4349148B9EF}"/>
    <cellStyle name="Comma 4 3 5 9" xfId="4623" xr:uid="{00000000-0005-0000-0000-0000C8090000}"/>
    <cellStyle name="Comma 4 3 5 9 2" xfId="13119" xr:uid="{E840DA35-E768-4D88-ADE0-8089D0675F1B}"/>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5502" xr:uid="{5100D9DE-6FFB-4DCB-8B60-1C2B7741CEB2}"/>
    <cellStyle name="Comma 4 4 10 3" xfId="11289" xr:uid="{5598F819-E127-4714-8BB6-1A352F3D75AA}"/>
    <cellStyle name="Comma 4 4 11" xfId="4624" xr:uid="{00000000-0005-0000-0000-0000CC090000}"/>
    <cellStyle name="Comma 4 4 11 2" xfId="13120" xr:uid="{6C9B0597-2D32-49A2-937D-C064D16BD000}"/>
    <cellStyle name="Comma 4 4 12" xfId="8804" xr:uid="{A2BB6322-7771-45CD-845C-77E2FE03AC7A}"/>
    <cellStyle name="Comma 4 4 2" xfId="154" xr:uid="{00000000-0005-0000-0000-0000CD090000}"/>
    <cellStyle name="Comma 4 4 2 10" xfId="4625" xr:uid="{00000000-0005-0000-0000-0000CE090000}"/>
    <cellStyle name="Comma 4 4 2 10 2" xfId="13121" xr:uid="{69A8485C-66DF-4640-8D2A-6D0EFE1C4C84}"/>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80" xr:uid="{8412DF6A-4E86-4F19-9AB8-666131524FF3}"/>
    <cellStyle name="Comma 4 4 2 2 2 2 3" xfId="11467" xr:uid="{6CA4E504-ED09-44DC-AADC-C9AB4F1508C4}"/>
    <cellStyle name="Comma 4 4 2 2 2 3" xfId="5040" xr:uid="{00000000-0005-0000-0000-0000D3090000}"/>
    <cellStyle name="Comma 4 4 2 2 2 3 2" xfId="13535" xr:uid="{23AF005A-E0D2-4F7B-8EA6-2CBF0BDAECB7}"/>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93" xr:uid="{E79C0DB3-1870-4347-A185-93C7BD8A29F7}"/>
    <cellStyle name="Comma 4 4 2 2 3 2 3" xfId="11880" xr:uid="{D6AA73F5-42C6-42DC-869A-AF3807309411}"/>
    <cellStyle name="Comma 4 4 2 2 3 3" xfId="5453" xr:uid="{00000000-0005-0000-0000-0000D7090000}"/>
    <cellStyle name="Comma 4 4 2 2 3 3 2" xfId="13948" xr:uid="{6F8CC95D-E002-4B56-B7BF-4598035CBE91}"/>
    <cellStyle name="Comma 4 4 2 2 3 4" xfId="9735" xr:uid="{9BBABE80-A33F-45D0-B5CB-89AF43676D1F}"/>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506" xr:uid="{B4E4E3D8-606F-49E3-883B-88DACF6B7E67}"/>
    <cellStyle name="Comma 4 4 2 2 4 2 3" xfId="12293" xr:uid="{84F19D14-52CE-4EBD-8121-75E8E19105BC}"/>
    <cellStyle name="Comma 4 4 2 2 4 3" xfId="5866" xr:uid="{00000000-0005-0000-0000-0000DB090000}"/>
    <cellStyle name="Comma 4 4 2 2 4 3 2" xfId="14361" xr:uid="{24C901EB-45FC-432D-8415-40529851CCB1}"/>
    <cellStyle name="Comma 4 4 2 2 4 4" xfId="10148" xr:uid="{208EB947-77F3-43A4-9E04-47E234F0E4AD}"/>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919" xr:uid="{07C90F11-0E36-4963-BAC3-C045B2C8CB0D}"/>
    <cellStyle name="Comma 4 4 2 2 5 2 3" xfId="12706" xr:uid="{5F764FDD-3754-4451-BF7E-9DD7611EBFA2}"/>
    <cellStyle name="Comma 4 4 2 2 5 3" xfId="6279" xr:uid="{00000000-0005-0000-0000-0000DF090000}"/>
    <cellStyle name="Comma 4 4 2 2 5 3 2" xfId="14774" xr:uid="{F9CC06B7-6257-4B97-8D7C-A7F198F8ED6F}"/>
    <cellStyle name="Comma 4 4 2 2 5 4" xfId="10561" xr:uid="{EA34DE3D-1F52-4EDA-A484-256F737B8F55}"/>
    <cellStyle name="Comma 4 4 2 2 6" xfId="2408" xr:uid="{00000000-0005-0000-0000-0000E0090000}"/>
    <cellStyle name="Comma 4 4 2 2 6 2" xfId="6692" xr:uid="{00000000-0005-0000-0000-0000E1090000}"/>
    <cellStyle name="Comma 4 4 2 2 6 2 2" xfId="15187" xr:uid="{68A9FD5E-A2A7-42AA-BB7B-6492ADD4C084}"/>
    <cellStyle name="Comma 4 4 2 2 6 3" xfId="10974" xr:uid="{7583CDA1-3864-42FE-9D3A-4DD0C4424D29}"/>
    <cellStyle name="Comma 4 4 2 2 7" xfId="2704" xr:uid="{00000000-0005-0000-0000-0000E2090000}"/>
    <cellStyle name="Comma 4 4 2 2 8" xfId="2786" xr:uid="{00000000-0005-0000-0000-0000E3090000}"/>
    <cellStyle name="Comma 4 4 2 2 8 2" xfId="7009" xr:uid="{00000000-0005-0000-0000-0000E4090000}"/>
    <cellStyle name="Comma 4 4 2 2 8 2 2" xfId="15504" xr:uid="{7C44A45A-0743-4862-9B5E-CBE7C4E8B298}"/>
    <cellStyle name="Comma 4 4 2 2 8 3" xfId="11291" xr:uid="{182348E5-7913-450C-B47C-0C264EF0DA49}"/>
    <cellStyle name="Comma 4 4 2 2 9" xfId="4626" xr:uid="{00000000-0005-0000-0000-0000E5090000}"/>
    <cellStyle name="Comma 4 4 2 2 9 2" xfId="13122" xr:uid="{99AFBFF5-BD8D-4F2A-932D-4014CA847646}"/>
    <cellStyle name="Comma 4 4 2 3" xfId="691" xr:uid="{00000000-0005-0000-0000-0000E6090000}"/>
    <cellStyle name="Comma 4 4 2 3 2" xfId="2962" xr:uid="{00000000-0005-0000-0000-0000E7090000}"/>
    <cellStyle name="Comma 4 4 2 3 2 2" xfId="7184" xr:uid="{00000000-0005-0000-0000-0000E8090000}"/>
    <cellStyle name="Comma 4 4 2 3 2 2 2" xfId="15679" xr:uid="{D27F4C21-5B65-4068-BE53-012E41DAD956}"/>
    <cellStyle name="Comma 4 4 2 3 2 3" xfId="11466" xr:uid="{FC7493C3-A365-4DCD-AE35-3E5B79912C10}"/>
    <cellStyle name="Comma 4 4 2 3 3" xfId="5039" xr:uid="{00000000-0005-0000-0000-0000E9090000}"/>
    <cellStyle name="Comma 4 4 2 3 3 2" xfId="13534" xr:uid="{BF4168FD-3B9B-476A-8999-3BA771BF72AE}"/>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2 2 2" xfId="16092" xr:uid="{2088517B-9B45-4A60-82DA-10B1663E9336}"/>
    <cellStyle name="Comma 4 4 2 4 2 3" xfId="11879" xr:uid="{7AF621D7-4AA7-4BC3-B8F1-85564C246A96}"/>
    <cellStyle name="Comma 4 4 2 4 3" xfId="5452" xr:uid="{00000000-0005-0000-0000-0000ED090000}"/>
    <cellStyle name="Comma 4 4 2 4 3 2" xfId="13947" xr:uid="{0E2680C8-24E9-4754-9D3B-960B2B3DFAB0}"/>
    <cellStyle name="Comma 4 4 2 4 4" xfId="9734" xr:uid="{7001C09E-851C-41F6-85A0-218ADDBD3F14}"/>
    <cellStyle name="Comma 4 4 2 5" xfId="1558" xr:uid="{00000000-0005-0000-0000-0000EE090000}"/>
    <cellStyle name="Comma 4 4 2 5 2" xfId="3788" xr:uid="{00000000-0005-0000-0000-0000EF090000}"/>
    <cellStyle name="Comma 4 4 2 5 2 2" xfId="8010" xr:uid="{00000000-0005-0000-0000-0000F0090000}"/>
    <cellStyle name="Comma 4 4 2 5 2 2 2" xfId="16505" xr:uid="{0127E041-E667-478D-96CA-3D2685AA8A8F}"/>
    <cellStyle name="Comma 4 4 2 5 2 3" xfId="12292" xr:uid="{A439DEEB-99E5-4FB3-A20F-FB84E358D2F5}"/>
    <cellStyle name="Comma 4 4 2 5 3" xfId="5865" xr:uid="{00000000-0005-0000-0000-0000F1090000}"/>
    <cellStyle name="Comma 4 4 2 5 3 2" xfId="14360" xr:uid="{AF8A4E4B-9A1F-4A02-B899-66441E5EBD28}"/>
    <cellStyle name="Comma 4 4 2 5 4" xfId="10147" xr:uid="{466FF7A1-16C7-43F2-BF23-C2E02D4A5D66}"/>
    <cellStyle name="Comma 4 4 2 6" xfId="1972" xr:uid="{00000000-0005-0000-0000-0000F2090000}"/>
    <cellStyle name="Comma 4 4 2 6 2" xfId="4201" xr:uid="{00000000-0005-0000-0000-0000F3090000}"/>
    <cellStyle name="Comma 4 4 2 6 2 2" xfId="8423" xr:uid="{00000000-0005-0000-0000-0000F4090000}"/>
    <cellStyle name="Comma 4 4 2 6 2 2 2" xfId="16918" xr:uid="{AA409928-B757-42FB-A1F1-8A1370CB37B3}"/>
    <cellStyle name="Comma 4 4 2 6 2 3" xfId="12705" xr:uid="{31A8C94D-CE76-4041-B7FF-5F9D2C01DFC8}"/>
    <cellStyle name="Comma 4 4 2 6 3" xfId="6278" xr:uid="{00000000-0005-0000-0000-0000F5090000}"/>
    <cellStyle name="Comma 4 4 2 6 3 2" xfId="14773" xr:uid="{BC41E611-E4B0-4805-A7CD-FC3A6DF1A0BE}"/>
    <cellStyle name="Comma 4 4 2 6 4" xfId="10560" xr:uid="{8EA14F0D-D495-400A-A514-265DFAE6F4A1}"/>
    <cellStyle name="Comma 4 4 2 7" xfId="2407" xr:uid="{00000000-0005-0000-0000-0000F6090000}"/>
    <cellStyle name="Comma 4 4 2 7 2" xfId="6691" xr:uid="{00000000-0005-0000-0000-0000F7090000}"/>
    <cellStyle name="Comma 4 4 2 7 2 2" xfId="15186" xr:uid="{7B402D90-6076-47F6-A179-11CD9EA19990}"/>
    <cellStyle name="Comma 4 4 2 7 3" xfId="10973" xr:uid="{AAC252F6-49E7-487E-91C6-F4F09C251D37}"/>
    <cellStyle name="Comma 4 4 2 8" xfId="2703" xr:uid="{00000000-0005-0000-0000-0000F8090000}"/>
    <cellStyle name="Comma 4 4 2 9" xfId="2785" xr:uid="{00000000-0005-0000-0000-0000F9090000}"/>
    <cellStyle name="Comma 4 4 2 9 2" xfId="7008" xr:uid="{00000000-0005-0000-0000-0000FA090000}"/>
    <cellStyle name="Comma 4 4 2 9 2 2" xfId="15503" xr:uid="{EE025842-DB14-40C7-B1F8-A5051F320FB8}"/>
    <cellStyle name="Comma 4 4 2 9 3" xfId="11290" xr:uid="{5CC355A9-BD0B-46DC-BD2B-9A028DC48E32}"/>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2 2 2" xfId="15681" xr:uid="{D0C11840-46F4-42FA-8776-787319DDA756}"/>
    <cellStyle name="Comma 4 4 3 2 2 3" xfId="11468" xr:uid="{0A73D336-13FE-49E8-A499-77F5C5F99BBE}"/>
    <cellStyle name="Comma 4 4 3 2 3" xfId="5041" xr:uid="{00000000-0005-0000-0000-0000FF090000}"/>
    <cellStyle name="Comma 4 4 3 2 3 2" xfId="13536" xr:uid="{002443B5-D0FE-4151-A81C-97E6FB3CA7FB}"/>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2 2 2" xfId="16094" xr:uid="{95CA7484-3E7A-4F23-B435-CD70D5B9A18F}"/>
    <cellStyle name="Comma 4 4 3 3 2 3" xfId="11881" xr:uid="{6B727C14-E18B-432C-A38C-5255EF99B388}"/>
    <cellStyle name="Comma 4 4 3 3 3" xfId="5454" xr:uid="{00000000-0005-0000-0000-0000030A0000}"/>
    <cellStyle name="Comma 4 4 3 3 3 2" xfId="13949" xr:uid="{F3CEDA25-D0EF-46C0-BC3E-64BF594F771B}"/>
    <cellStyle name="Comma 4 4 3 3 4" xfId="9736" xr:uid="{60CBE4D8-9FFA-4DA2-B703-DC9FE37DD9C8}"/>
    <cellStyle name="Comma 4 4 3 4" xfId="1560" xr:uid="{00000000-0005-0000-0000-0000040A0000}"/>
    <cellStyle name="Comma 4 4 3 4 2" xfId="3790" xr:uid="{00000000-0005-0000-0000-0000050A0000}"/>
    <cellStyle name="Comma 4 4 3 4 2 2" xfId="8012" xr:uid="{00000000-0005-0000-0000-0000060A0000}"/>
    <cellStyle name="Comma 4 4 3 4 2 2 2" xfId="16507" xr:uid="{97E2B04A-117F-4DD6-A93B-6FAE75FCAF2C}"/>
    <cellStyle name="Comma 4 4 3 4 2 3" xfId="12294" xr:uid="{E8FF3D42-BF79-4358-96FA-1076BEF00858}"/>
    <cellStyle name="Comma 4 4 3 4 3" xfId="5867" xr:uid="{00000000-0005-0000-0000-0000070A0000}"/>
    <cellStyle name="Comma 4 4 3 4 3 2" xfId="14362" xr:uid="{C6D2CF60-78B4-4720-8CEA-015297A953F0}"/>
    <cellStyle name="Comma 4 4 3 4 4" xfId="10149" xr:uid="{D469E7DB-442E-47CD-8C27-4C53068E12BD}"/>
    <cellStyle name="Comma 4 4 3 5" xfId="1974" xr:uid="{00000000-0005-0000-0000-0000080A0000}"/>
    <cellStyle name="Comma 4 4 3 5 2" xfId="4203" xr:uid="{00000000-0005-0000-0000-0000090A0000}"/>
    <cellStyle name="Comma 4 4 3 5 2 2" xfId="8425" xr:uid="{00000000-0005-0000-0000-00000A0A0000}"/>
    <cellStyle name="Comma 4 4 3 5 2 2 2" xfId="16920" xr:uid="{F6EDD4A1-CE3A-4C2E-8A73-2D86FED7423D}"/>
    <cellStyle name="Comma 4 4 3 5 2 3" xfId="12707" xr:uid="{E0AB9D68-16CA-4C59-B4C6-A7423A303603}"/>
    <cellStyle name="Comma 4 4 3 5 3" xfId="6280" xr:uid="{00000000-0005-0000-0000-00000B0A0000}"/>
    <cellStyle name="Comma 4 4 3 5 3 2" xfId="14775" xr:uid="{32B9E803-C35C-4B1E-AAD6-FBCCB5E743C3}"/>
    <cellStyle name="Comma 4 4 3 5 4" xfId="10562" xr:uid="{B93E80BB-5396-44D0-A50F-8C3F0536E598}"/>
    <cellStyle name="Comma 4 4 3 6" xfId="2409" xr:uid="{00000000-0005-0000-0000-00000C0A0000}"/>
    <cellStyle name="Comma 4 4 3 6 2" xfId="6693" xr:uid="{00000000-0005-0000-0000-00000D0A0000}"/>
    <cellStyle name="Comma 4 4 3 6 2 2" xfId="15188" xr:uid="{6950CB47-8055-49A3-A55F-CD6C066DA7DD}"/>
    <cellStyle name="Comma 4 4 3 6 3" xfId="10975" xr:uid="{AD9CA093-CEC3-4441-8C67-CD5527968A34}"/>
    <cellStyle name="Comma 4 4 3 7" xfId="2705" xr:uid="{00000000-0005-0000-0000-00000E0A0000}"/>
    <cellStyle name="Comma 4 4 3 8" xfId="2787" xr:uid="{00000000-0005-0000-0000-00000F0A0000}"/>
    <cellStyle name="Comma 4 4 3 8 2" xfId="7010" xr:uid="{00000000-0005-0000-0000-0000100A0000}"/>
    <cellStyle name="Comma 4 4 3 8 2 2" xfId="15505" xr:uid="{B7DBD8DA-13E4-4C1D-B7B3-FF40C829E861}"/>
    <cellStyle name="Comma 4 4 3 8 3" xfId="11292" xr:uid="{FE62FFF3-33B2-4F22-816A-8929EA3E5C5D}"/>
    <cellStyle name="Comma 4 4 3 9" xfId="4627" xr:uid="{00000000-0005-0000-0000-0000110A0000}"/>
    <cellStyle name="Comma 4 4 3 9 2" xfId="13123" xr:uid="{674B2AC7-A2D8-4B36-909D-30D62A517C34}"/>
    <cellStyle name="Comma 4 4 4" xfId="690" xr:uid="{00000000-0005-0000-0000-0000120A0000}"/>
    <cellStyle name="Comma 4 4 4 2" xfId="2961" xr:uid="{00000000-0005-0000-0000-0000130A0000}"/>
    <cellStyle name="Comma 4 4 4 2 2" xfId="7183" xr:uid="{00000000-0005-0000-0000-0000140A0000}"/>
    <cellStyle name="Comma 4 4 4 2 2 2" xfId="15678" xr:uid="{D43B3F26-7158-49B8-AE2E-BD75C80101B1}"/>
    <cellStyle name="Comma 4 4 4 2 3" xfId="11465" xr:uid="{BE5806F9-8738-492D-A807-69FED896F0DA}"/>
    <cellStyle name="Comma 4 4 4 3" xfId="5038" xr:uid="{00000000-0005-0000-0000-0000150A0000}"/>
    <cellStyle name="Comma 4 4 4 3 2" xfId="13533" xr:uid="{546837A6-ECDB-4068-AB2D-26E22F8687B8}"/>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2 2 2" xfId="16091" xr:uid="{D0C4D29D-2FD0-464E-959F-61A4EADF3EC8}"/>
    <cellStyle name="Comma 4 4 5 2 3" xfId="11878" xr:uid="{9C043A54-F567-430F-83F7-0BFAE237F2D0}"/>
    <cellStyle name="Comma 4 4 5 3" xfId="5451" xr:uid="{00000000-0005-0000-0000-0000190A0000}"/>
    <cellStyle name="Comma 4 4 5 3 2" xfId="13946" xr:uid="{329390F7-93EF-4335-8FE0-8CEFCDB068B0}"/>
    <cellStyle name="Comma 4 4 5 4" xfId="9733" xr:uid="{D9A186E9-6E7C-465D-9555-9EF45C104EA7}"/>
    <cellStyle name="Comma 4 4 6" xfId="1557" xr:uid="{00000000-0005-0000-0000-00001A0A0000}"/>
    <cellStyle name="Comma 4 4 6 2" xfId="3787" xr:uid="{00000000-0005-0000-0000-00001B0A0000}"/>
    <cellStyle name="Comma 4 4 6 2 2" xfId="8009" xr:uid="{00000000-0005-0000-0000-00001C0A0000}"/>
    <cellStyle name="Comma 4 4 6 2 2 2" xfId="16504" xr:uid="{D52EA843-8CAD-480A-AC44-AFC586589718}"/>
    <cellStyle name="Comma 4 4 6 2 3" xfId="12291" xr:uid="{D83BBE4B-9BF0-48C4-9BDF-7207DD642F5E}"/>
    <cellStyle name="Comma 4 4 6 3" xfId="5864" xr:uid="{00000000-0005-0000-0000-00001D0A0000}"/>
    <cellStyle name="Comma 4 4 6 3 2" xfId="14359" xr:uid="{26720B6F-4C5F-4022-B29B-5E7EC6771454}"/>
    <cellStyle name="Comma 4 4 6 4" xfId="10146" xr:uid="{CD3C9736-9C6A-47CE-B5F0-8B5DAE7114E1}"/>
    <cellStyle name="Comma 4 4 7" xfId="1971" xr:uid="{00000000-0005-0000-0000-00001E0A0000}"/>
    <cellStyle name="Comma 4 4 7 2" xfId="4200" xr:uid="{00000000-0005-0000-0000-00001F0A0000}"/>
    <cellStyle name="Comma 4 4 7 2 2" xfId="8422" xr:uid="{00000000-0005-0000-0000-0000200A0000}"/>
    <cellStyle name="Comma 4 4 7 2 2 2" xfId="16917" xr:uid="{0B206304-ADD7-48AE-AF5E-2016428EA827}"/>
    <cellStyle name="Comma 4 4 7 2 3" xfId="12704" xr:uid="{84800925-51D5-4B80-B3CE-56A2E37F3355}"/>
    <cellStyle name="Comma 4 4 7 3" xfId="6277" xr:uid="{00000000-0005-0000-0000-0000210A0000}"/>
    <cellStyle name="Comma 4 4 7 3 2" xfId="14772" xr:uid="{0FC79076-8645-4985-A2B6-206B69B67021}"/>
    <cellStyle name="Comma 4 4 7 4" xfId="10559" xr:uid="{C71D97E0-8DB2-4FB1-B2A2-5BBAF21F640C}"/>
    <cellStyle name="Comma 4 4 8" xfId="2406" xr:uid="{00000000-0005-0000-0000-0000220A0000}"/>
    <cellStyle name="Comma 4 4 8 2" xfId="6690" xr:uid="{00000000-0005-0000-0000-0000230A0000}"/>
    <cellStyle name="Comma 4 4 8 2 2" xfId="15185" xr:uid="{D19584D1-0B3A-4B2E-B932-02A93922D374}"/>
    <cellStyle name="Comma 4 4 8 3" xfId="10972" xr:uid="{26FA6915-B4B3-433A-8904-5F445A1990DD}"/>
    <cellStyle name="Comma 4 4 9" xfId="2702" xr:uid="{00000000-0005-0000-0000-0000240A0000}"/>
    <cellStyle name="Comma 4 5" xfId="157" xr:uid="{00000000-0005-0000-0000-0000250A0000}"/>
    <cellStyle name="Comma 4 5 10" xfId="4628" xr:uid="{00000000-0005-0000-0000-0000260A0000}"/>
    <cellStyle name="Comma 4 5 10 2" xfId="13124" xr:uid="{7A734563-A33D-4B04-B978-841559ACB797}"/>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2 2 2" xfId="15683" xr:uid="{98FE4EE1-F91E-4FF0-A5CC-8944C443542F}"/>
    <cellStyle name="Comma 4 5 2 2 2 3" xfId="11470" xr:uid="{0DF3D19D-8E6B-45DB-8CB0-B1897BEA5DCD}"/>
    <cellStyle name="Comma 4 5 2 2 3" xfId="5043" xr:uid="{00000000-0005-0000-0000-00002B0A0000}"/>
    <cellStyle name="Comma 4 5 2 2 3 2" xfId="13538" xr:uid="{0D656DE4-ECE9-4035-8F75-AB8E18F7BC35}"/>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2 2 2" xfId="16096" xr:uid="{EEDF4FCE-56D8-4EFD-86F2-F16495E9B919}"/>
    <cellStyle name="Comma 4 5 2 3 2 3" xfId="11883" xr:uid="{E3483FC9-BC81-4036-9408-74E76F3A5D69}"/>
    <cellStyle name="Comma 4 5 2 3 3" xfId="5456" xr:uid="{00000000-0005-0000-0000-00002F0A0000}"/>
    <cellStyle name="Comma 4 5 2 3 3 2" xfId="13951" xr:uid="{796B388D-9DE9-40A2-A6D1-540699427593}"/>
    <cellStyle name="Comma 4 5 2 3 4" xfId="9738" xr:uid="{3B421059-E159-41DC-BBAB-3127CDD6DC7E}"/>
    <cellStyle name="Comma 4 5 2 4" xfId="1562" xr:uid="{00000000-0005-0000-0000-0000300A0000}"/>
    <cellStyle name="Comma 4 5 2 4 2" xfId="3792" xr:uid="{00000000-0005-0000-0000-0000310A0000}"/>
    <cellStyle name="Comma 4 5 2 4 2 2" xfId="8014" xr:uid="{00000000-0005-0000-0000-0000320A0000}"/>
    <cellStyle name="Comma 4 5 2 4 2 2 2" xfId="16509" xr:uid="{087D4BB1-139E-40BD-83DC-8BC7B9382DE6}"/>
    <cellStyle name="Comma 4 5 2 4 2 3" xfId="12296" xr:uid="{2BA29BE9-BE00-49D2-BB41-FFCD558493EA}"/>
    <cellStyle name="Comma 4 5 2 4 3" xfId="5869" xr:uid="{00000000-0005-0000-0000-0000330A0000}"/>
    <cellStyle name="Comma 4 5 2 4 3 2" xfId="14364" xr:uid="{A4FE3385-A4B6-4D2E-8EF2-A92112DA4DDA}"/>
    <cellStyle name="Comma 4 5 2 4 4" xfId="10151" xr:uid="{33446011-65D8-465F-8E0B-5D79EE2B9A87}"/>
    <cellStyle name="Comma 4 5 2 5" xfId="1976" xr:uid="{00000000-0005-0000-0000-0000340A0000}"/>
    <cellStyle name="Comma 4 5 2 5 2" xfId="4205" xr:uid="{00000000-0005-0000-0000-0000350A0000}"/>
    <cellStyle name="Comma 4 5 2 5 2 2" xfId="8427" xr:uid="{00000000-0005-0000-0000-0000360A0000}"/>
    <cellStyle name="Comma 4 5 2 5 2 2 2" xfId="16922" xr:uid="{3AE6CE10-CDBE-4976-A0B4-E009016E3D4B}"/>
    <cellStyle name="Comma 4 5 2 5 2 3" xfId="12709" xr:uid="{43875054-71CE-49D6-807E-F2D7FEBA1755}"/>
    <cellStyle name="Comma 4 5 2 5 3" xfId="6282" xr:uid="{00000000-0005-0000-0000-0000370A0000}"/>
    <cellStyle name="Comma 4 5 2 5 3 2" xfId="14777" xr:uid="{C5478DEB-1A35-4A3A-89D5-88BE34DF454D}"/>
    <cellStyle name="Comma 4 5 2 5 4" xfId="10564" xr:uid="{88A91929-377B-496D-BC28-5DC565DF90B4}"/>
    <cellStyle name="Comma 4 5 2 6" xfId="2411" xr:uid="{00000000-0005-0000-0000-0000380A0000}"/>
    <cellStyle name="Comma 4 5 2 6 2" xfId="6695" xr:uid="{00000000-0005-0000-0000-0000390A0000}"/>
    <cellStyle name="Comma 4 5 2 6 2 2" xfId="15190" xr:uid="{9E3A5B43-B2C5-45D4-BF1E-2B6F3BF5B2D0}"/>
    <cellStyle name="Comma 4 5 2 6 3" xfId="10977" xr:uid="{FE39878F-1457-47B7-A64D-E4888CF22E10}"/>
    <cellStyle name="Comma 4 5 2 7" xfId="2707" xr:uid="{00000000-0005-0000-0000-00003A0A0000}"/>
    <cellStyle name="Comma 4 5 2 8" xfId="2789" xr:uid="{00000000-0005-0000-0000-00003B0A0000}"/>
    <cellStyle name="Comma 4 5 2 8 2" xfId="7012" xr:uid="{00000000-0005-0000-0000-00003C0A0000}"/>
    <cellStyle name="Comma 4 5 2 8 2 2" xfId="15507" xr:uid="{471E196D-B6ED-4C49-B997-A4E9BDB36446}"/>
    <cellStyle name="Comma 4 5 2 8 3" xfId="11294" xr:uid="{68C3F39C-9D06-417F-A409-97D0BEAC06A4}"/>
    <cellStyle name="Comma 4 5 2 9" xfId="4629" xr:uid="{00000000-0005-0000-0000-00003D0A0000}"/>
    <cellStyle name="Comma 4 5 2 9 2" xfId="13125" xr:uid="{91F4FD1D-9E4F-4A84-BF56-752B197262FF}"/>
    <cellStyle name="Comma 4 5 3" xfId="694" xr:uid="{00000000-0005-0000-0000-00003E0A0000}"/>
    <cellStyle name="Comma 4 5 3 2" xfId="2965" xr:uid="{00000000-0005-0000-0000-00003F0A0000}"/>
    <cellStyle name="Comma 4 5 3 2 2" xfId="7187" xr:uid="{00000000-0005-0000-0000-0000400A0000}"/>
    <cellStyle name="Comma 4 5 3 2 2 2" xfId="15682" xr:uid="{D1AA2F2A-9C48-4224-98E2-67E92D0D66E1}"/>
    <cellStyle name="Comma 4 5 3 2 3" xfId="11469" xr:uid="{D5E8D283-2248-40B3-A930-EA218D028D57}"/>
    <cellStyle name="Comma 4 5 3 3" xfId="5042" xr:uid="{00000000-0005-0000-0000-0000410A0000}"/>
    <cellStyle name="Comma 4 5 3 3 2" xfId="13537" xr:uid="{0B6B4E81-66FF-44B8-8A6F-32CC1B27203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2 2 2" xfId="16095" xr:uid="{C64202DD-1C42-469B-A011-19C424AB2CE1}"/>
    <cellStyle name="Comma 4 5 4 2 3" xfId="11882" xr:uid="{AACE244E-1909-4D2D-9885-6EB5793D6442}"/>
    <cellStyle name="Comma 4 5 4 3" xfId="5455" xr:uid="{00000000-0005-0000-0000-0000450A0000}"/>
    <cellStyle name="Comma 4 5 4 3 2" xfId="13950" xr:uid="{467C5BE1-FEAA-4A82-A491-E9FA3C53632F}"/>
    <cellStyle name="Comma 4 5 4 4" xfId="9737" xr:uid="{9AD63F3C-7445-44C2-963A-67859BFEAE42}"/>
    <cellStyle name="Comma 4 5 5" xfId="1561" xr:uid="{00000000-0005-0000-0000-0000460A0000}"/>
    <cellStyle name="Comma 4 5 5 2" xfId="3791" xr:uid="{00000000-0005-0000-0000-0000470A0000}"/>
    <cellStyle name="Comma 4 5 5 2 2" xfId="8013" xr:uid="{00000000-0005-0000-0000-0000480A0000}"/>
    <cellStyle name="Comma 4 5 5 2 2 2" xfId="16508" xr:uid="{4A56C5C1-2808-4531-BA3D-4CD5C373A619}"/>
    <cellStyle name="Comma 4 5 5 2 3" xfId="12295" xr:uid="{729E37CE-944A-4343-AE4D-2915E55D1A54}"/>
    <cellStyle name="Comma 4 5 5 3" xfId="5868" xr:uid="{00000000-0005-0000-0000-0000490A0000}"/>
    <cellStyle name="Comma 4 5 5 3 2" xfId="14363" xr:uid="{88027A2F-4D75-4600-B127-D439D32212E4}"/>
    <cellStyle name="Comma 4 5 5 4" xfId="10150" xr:uid="{6476DE9B-4DC3-4B15-AE4C-9206D12F3F48}"/>
    <cellStyle name="Comma 4 5 6" xfId="1975" xr:uid="{00000000-0005-0000-0000-00004A0A0000}"/>
    <cellStyle name="Comma 4 5 6 2" xfId="4204" xr:uid="{00000000-0005-0000-0000-00004B0A0000}"/>
    <cellStyle name="Comma 4 5 6 2 2" xfId="8426" xr:uid="{00000000-0005-0000-0000-00004C0A0000}"/>
    <cellStyle name="Comma 4 5 6 2 2 2" xfId="16921" xr:uid="{45B1F6D1-7437-4CD1-90A4-562977E4B662}"/>
    <cellStyle name="Comma 4 5 6 2 3" xfId="12708" xr:uid="{D1632E34-D5A6-4F5D-885E-A0AB14529B63}"/>
    <cellStyle name="Comma 4 5 6 3" xfId="6281" xr:uid="{00000000-0005-0000-0000-00004D0A0000}"/>
    <cellStyle name="Comma 4 5 6 3 2" xfId="14776" xr:uid="{99478CB7-05CF-404E-B439-7BCAC3E821AB}"/>
    <cellStyle name="Comma 4 5 6 4" xfId="10563" xr:uid="{6BAFC17E-F98F-4EE1-B14B-B0C2408728A7}"/>
    <cellStyle name="Comma 4 5 7" xfId="2410" xr:uid="{00000000-0005-0000-0000-00004E0A0000}"/>
    <cellStyle name="Comma 4 5 7 2" xfId="6694" xr:uid="{00000000-0005-0000-0000-00004F0A0000}"/>
    <cellStyle name="Comma 4 5 7 2 2" xfId="15189" xr:uid="{6B67FFFF-E574-4AE5-987B-8249A7F34B65}"/>
    <cellStyle name="Comma 4 5 7 3" xfId="10976" xr:uid="{B554BE70-A555-4B13-8769-EFA01DC6DBD9}"/>
    <cellStyle name="Comma 4 5 8" xfId="2706" xr:uid="{00000000-0005-0000-0000-0000500A0000}"/>
    <cellStyle name="Comma 4 5 9" xfId="2788" xr:uid="{00000000-0005-0000-0000-0000510A0000}"/>
    <cellStyle name="Comma 4 5 9 2" xfId="7011" xr:uid="{00000000-0005-0000-0000-0000520A0000}"/>
    <cellStyle name="Comma 4 5 9 2 2" xfId="15506" xr:uid="{F9EC55EA-956A-4D33-BF97-39311B47A946}"/>
    <cellStyle name="Comma 4 5 9 3" xfId="11293" xr:uid="{ADB04CF5-381E-4F09-8DD2-3C675A12B2B4}"/>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2 2 2" xfId="15684" xr:uid="{EAE17124-A8BA-4724-A97B-AF0F730EE6F6}"/>
    <cellStyle name="Comma 4 6 2 2 3" xfId="11471" xr:uid="{DCBDA940-7A2D-4A88-A972-A415A9D1318B}"/>
    <cellStyle name="Comma 4 6 2 3" xfId="5044" xr:uid="{00000000-0005-0000-0000-0000570A0000}"/>
    <cellStyle name="Comma 4 6 2 3 2" xfId="13539" xr:uid="{8C520CFE-19D8-42A9-910C-9CEB94300E71}"/>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2 2 2" xfId="16097" xr:uid="{96E78374-549E-4565-B39F-5ECDEBB933D2}"/>
    <cellStyle name="Comma 4 6 3 2 3" xfId="11884" xr:uid="{C7495EF9-10D0-4CA1-A0D8-1A05967DC786}"/>
    <cellStyle name="Comma 4 6 3 3" xfId="5457" xr:uid="{00000000-0005-0000-0000-00005B0A0000}"/>
    <cellStyle name="Comma 4 6 3 3 2" xfId="13952" xr:uid="{905B16E9-76C7-4ED5-B9E2-820948BC9CF2}"/>
    <cellStyle name="Comma 4 6 3 4" xfId="9739" xr:uid="{5CCAFC82-4E70-47F5-8DF6-E23725894546}"/>
    <cellStyle name="Comma 4 6 4" xfId="1563" xr:uid="{00000000-0005-0000-0000-00005C0A0000}"/>
    <cellStyle name="Comma 4 6 4 2" xfId="3793" xr:uid="{00000000-0005-0000-0000-00005D0A0000}"/>
    <cellStyle name="Comma 4 6 4 2 2" xfId="8015" xr:uid="{00000000-0005-0000-0000-00005E0A0000}"/>
    <cellStyle name="Comma 4 6 4 2 2 2" xfId="16510" xr:uid="{7B8CD920-07A0-489E-94F0-0188DE79D612}"/>
    <cellStyle name="Comma 4 6 4 2 3" xfId="12297" xr:uid="{EABFD398-AD98-4DC3-81DD-2B0DF9660A97}"/>
    <cellStyle name="Comma 4 6 4 3" xfId="5870" xr:uid="{00000000-0005-0000-0000-00005F0A0000}"/>
    <cellStyle name="Comma 4 6 4 3 2" xfId="14365" xr:uid="{811E9A69-EA16-4074-B5D3-C63F778EA002}"/>
    <cellStyle name="Comma 4 6 4 4" xfId="10152" xr:uid="{F860A6AE-0289-4434-AD16-AE0050224252}"/>
    <cellStyle name="Comma 4 6 5" xfId="1977" xr:uid="{00000000-0005-0000-0000-0000600A0000}"/>
    <cellStyle name="Comma 4 6 5 2" xfId="4206" xr:uid="{00000000-0005-0000-0000-0000610A0000}"/>
    <cellStyle name="Comma 4 6 5 2 2" xfId="8428" xr:uid="{00000000-0005-0000-0000-0000620A0000}"/>
    <cellStyle name="Comma 4 6 5 2 2 2" xfId="16923" xr:uid="{5796B7D0-DCB0-4C40-BD28-E8091F411A0E}"/>
    <cellStyle name="Comma 4 6 5 2 3" xfId="12710" xr:uid="{A5A8FBC5-09C9-496B-A8E1-D5FD85A95971}"/>
    <cellStyle name="Comma 4 6 5 3" xfId="6283" xr:uid="{00000000-0005-0000-0000-0000630A0000}"/>
    <cellStyle name="Comma 4 6 5 3 2" xfId="14778" xr:uid="{84F84F4F-27DE-4F03-AF4E-9FD3AC7AA45F}"/>
    <cellStyle name="Comma 4 6 5 4" xfId="10565" xr:uid="{66C17CBC-7DD9-4729-B917-C0E1D2BD0C8D}"/>
    <cellStyle name="Comma 4 6 6" xfId="2412" xr:uid="{00000000-0005-0000-0000-0000640A0000}"/>
    <cellStyle name="Comma 4 6 6 2" xfId="6696" xr:uid="{00000000-0005-0000-0000-0000650A0000}"/>
    <cellStyle name="Comma 4 6 6 2 2" xfId="15191" xr:uid="{2A5BEEB1-D9F7-4858-92E9-524878D5BE03}"/>
    <cellStyle name="Comma 4 6 6 3" xfId="10978" xr:uid="{BB727A8B-E663-402D-AC86-55AC3CF5415D}"/>
    <cellStyle name="Comma 4 6 7" xfId="2708" xr:uid="{00000000-0005-0000-0000-0000660A0000}"/>
    <cellStyle name="Comma 4 6 8" xfId="2790" xr:uid="{00000000-0005-0000-0000-0000670A0000}"/>
    <cellStyle name="Comma 4 6 8 2" xfId="7013" xr:uid="{00000000-0005-0000-0000-0000680A0000}"/>
    <cellStyle name="Comma 4 6 8 2 2" xfId="15508" xr:uid="{0147476C-7A76-4555-AC9F-8870DA775917}"/>
    <cellStyle name="Comma 4 6 8 3" xfId="11295" xr:uid="{80539B19-7D20-4B8B-ACCF-0EE2D207212F}"/>
    <cellStyle name="Comma 4 6 9" xfId="4630" xr:uid="{00000000-0005-0000-0000-0000690A0000}"/>
    <cellStyle name="Comma 4 6 9 2" xfId="13126" xr:uid="{4B1D2855-CBBC-4B06-87BF-8E731092D116}"/>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2 2 2" xfId="15685" xr:uid="{30F4528F-56E5-48AB-86FA-09A87AB4E3B3}"/>
    <cellStyle name="Comma 4 7 2 2 3" xfId="11472" xr:uid="{2296FE91-4891-44C0-A8A8-C549C3C34065}"/>
    <cellStyle name="Comma 4 7 2 3" xfId="5045" xr:uid="{00000000-0005-0000-0000-00006E0A0000}"/>
    <cellStyle name="Comma 4 7 2 3 2" xfId="13540" xr:uid="{9496F050-D86C-4C51-87F1-EB2736075275}"/>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2 2 2" xfId="16098" xr:uid="{D3800F12-5026-4C8D-981E-D7A5D5D0C523}"/>
    <cellStyle name="Comma 4 7 3 2 3" xfId="11885" xr:uid="{5D4EEC7B-D424-49C5-88B2-1AC487B2811F}"/>
    <cellStyle name="Comma 4 7 3 3" xfId="5458" xr:uid="{00000000-0005-0000-0000-0000720A0000}"/>
    <cellStyle name="Comma 4 7 3 3 2" xfId="13953" xr:uid="{D39A9A99-99D5-4A17-BEB3-CCC622FF4CA7}"/>
    <cellStyle name="Comma 4 7 3 4" xfId="9740" xr:uid="{6B755D4F-88E2-45D0-851F-B1AC142698E9}"/>
    <cellStyle name="Comma 4 7 4" xfId="1564" xr:uid="{00000000-0005-0000-0000-0000730A0000}"/>
    <cellStyle name="Comma 4 7 4 2" xfId="3794" xr:uid="{00000000-0005-0000-0000-0000740A0000}"/>
    <cellStyle name="Comma 4 7 4 2 2" xfId="8016" xr:uid="{00000000-0005-0000-0000-0000750A0000}"/>
    <cellStyle name="Comma 4 7 4 2 2 2" xfId="16511" xr:uid="{2CD6F24F-AF45-4A0D-8352-42B2825C7984}"/>
    <cellStyle name="Comma 4 7 4 2 3" xfId="12298" xr:uid="{639000E1-BD3E-464C-9870-EC127432DD7F}"/>
    <cellStyle name="Comma 4 7 4 3" xfId="5871" xr:uid="{00000000-0005-0000-0000-0000760A0000}"/>
    <cellStyle name="Comma 4 7 4 3 2" xfId="14366" xr:uid="{FE1324A7-0F92-4096-8DAD-7C4C2C26747B}"/>
    <cellStyle name="Comma 4 7 4 4" xfId="10153" xr:uid="{4C2082FB-0E16-4FA7-A125-4BB7276F0532}"/>
    <cellStyle name="Comma 4 7 5" xfId="1978" xr:uid="{00000000-0005-0000-0000-0000770A0000}"/>
    <cellStyle name="Comma 4 7 5 2" xfId="4207" xr:uid="{00000000-0005-0000-0000-0000780A0000}"/>
    <cellStyle name="Comma 4 7 5 2 2" xfId="8429" xr:uid="{00000000-0005-0000-0000-0000790A0000}"/>
    <cellStyle name="Comma 4 7 5 2 2 2" xfId="16924" xr:uid="{A9CD9172-E678-4CF1-8C8B-E3A476B1BE09}"/>
    <cellStyle name="Comma 4 7 5 2 3" xfId="12711" xr:uid="{223A6AE1-DBE3-48FF-8EB0-EA10C72B7167}"/>
    <cellStyle name="Comma 4 7 5 3" xfId="6284" xr:uid="{00000000-0005-0000-0000-00007A0A0000}"/>
    <cellStyle name="Comma 4 7 5 3 2" xfId="14779" xr:uid="{4BA7E105-38BB-4115-8D0E-AAF55F9100E0}"/>
    <cellStyle name="Comma 4 7 5 4" xfId="10566" xr:uid="{6DB3C6AF-1735-4A61-9E35-99DB368965B2}"/>
    <cellStyle name="Comma 4 7 6" xfId="2413" xr:uid="{00000000-0005-0000-0000-00007B0A0000}"/>
    <cellStyle name="Comma 4 7 6 2" xfId="6697" xr:uid="{00000000-0005-0000-0000-00007C0A0000}"/>
    <cellStyle name="Comma 4 7 6 2 2" xfId="15192" xr:uid="{F0F7A87D-1631-419C-A862-5316D2C32DA6}"/>
    <cellStyle name="Comma 4 7 6 3" xfId="10979" xr:uid="{86348507-1CBF-4325-BFAF-E88857ED0CEB}"/>
    <cellStyle name="Comma 4 7 7" xfId="2709" xr:uid="{00000000-0005-0000-0000-00007D0A0000}"/>
    <cellStyle name="Comma 4 7 8" xfId="2791" xr:uid="{00000000-0005-0000-0000-00007E0A0000}"/>
    <cellStyle name="Comma 4 7 8 2" xfId="7014" xr:uid="{00000000-0005-0000-0000-00007F0A0000}"/>
    <cellStyle name="Comma 4 7 8 2 2" xfId="15509" xr:uid="{7F4DBCA5-F80C-4CC5-9016-F7AF99160F1B}"/>
    <cellStyle name="Comma 4 7 8 3" xfId="11296" xr:uid="{C5B1D523-A907-4211-8F1A-4DD7168271E4}"/>
    <cellStyle name="Comma 4 7 9" xfId="4631" xr:uid="{00000000-0005-0000-0000-0000800A0000}"/>
    <cellStyle name="Comma 4 7 9 2" xfId="13127" xr:uid="{E44831B3-86F7-4205-AFB4-C8454A2B2988}"/>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211" xr:uid="{729BFCA4-40AE-489E-A79B-965944A315D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7230" xr:uid="{5BBD71B1-66DA-4B0E-A629-13B91578D0EE}"/>
    <cellStyle name="Currency 14 3 2 2 2 2 3" xfId="17227" xr:uid="{E9070B68-EF08-4087-A0D8-B569F6C3B890}"/>
    <cellStyle name="Currency 14 3 2 2 2 3" xfId="17224" xr:uid="{FB057574-2B2C-422A-8B77-FC8D31ECFDC4}"/>
    <cellStyle name="Currency 14 3 2 2 3" xfId="17220" xr:uid="{AFFE1D11-0EC6-4C7D-BD81-BE0E40C6E160}"/>
    <cellStyle name="Currency 14 3 2 3" xfId="17217" xr:uid="{83E75B99-5B47-488A-B136-68F0A2FDB5ED}"/>
    <cellStyle name="Currency 14 3 3" xfId="17214" xr:uid="{6ED23439-8C41-46EE-8C54-DC607F7B834D}"/>
    <cellStyle name="Currency 14 4" xfId="12998" xr:uid="{CBBECA68-894B-4EC2-87B7-EE27A4DE69B4}"/>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510" xr:uid="{001B486C-3D78-4DC7-A35A-097BAC884C62}"/>
    <cellStyle name="Currency 3 2 2 10 3" xfId="11297" xr:uid="{0E86190B-5409-4028-B1FE-A7CDA7E64506}"/>
    <cellStyle name="Currency 3 2 2 11" xfId="4632" xr:uid="{00000000-0005-0000-0000-0000A50A0000}"/>
    <cellStyle name="Currency 3 2 2 11 2" xfId="13128" xr:uid="{EC309ABD-6FE8-408C-A814-F8112B2C9606}"/>
    <cellStyle name="Currency 3 2 2 12" xfId="8808" xr:uid="{5CD24693-181E-456A-9199-DC057509AC96}"/>
    <cellStyle name="Currency 3 2 2 2" xfId="179" xr:uid="{00000000-0005-0000-0000-0000A60A0000}"/>
    <cellStyle name="Currency 3 2 2 2 10" xfId="4633" xr:uid="{00000000-0005-0000-0000-0000A70A0000}"/>
    <cellStyle name="Currency 3 2 2 2 10 2" xfId="13129" xr:uid="{EDC29ACF-1464-4750-8642-1318429C97B4}"/>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88" xr:uid="{FA7C31B1-FB55-4976-B008-F6243058EACA}"/>
    <cellStyle name="Currency 3 2 2 2 2 2 2 3" xfId="11475" xr:uid="{72180DBE-577A-473A-AA2D-19E433DF3450}"/>
    <cellStyle name="Currency 3 2 2 2 2 2 3" xfId="5048" xr:uid="{00000000-0005-0000-0000-0000AC0A0000}"/>
    <cellStyle name="Currency 3 2 2 2 2 2 3 2" xfId="13543" xr:uid="{25DF96B0-C12C-4A7B-B3B2-AC9FBF0CB6C3}"/>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101" xr:uid="{C0EC9A31-70B4-471E-B22E-638D12D05078}"/>
    <cellStyle name="Currency 3 2 2 2 2 3 2 3" xfId="11888" xr:uid="{AE62D3FC-8839-41CD-AE99-D471ECA7647C}"/>
    <cellStyle name="Currency 3 2 2 2 2 3 3" xfId="5461" xr:uid="{00000000-0005-0000-0000-0000B00A0000}"/>
    <cellStyle name="Currency 3 2 2 2 2 3 3 2" xfId="13956" xr:uid="{FF5A60E0-2C30-4EA2-BC5D-4477FAF4D03B}"/>
    <cellStyle name="Currency 3 2 2 2 2 3 4" xfId="9743" xr:uid="{96EBBD25-37F7-45B7-85F3-070D73FDD7A2}"/>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514" xr:uid="{FFAC28FF-564E-421F-A614-9416E1544FB3}"/>
    <cellStyle name="Currency 3 2 2 2 2 4 2 3" xfId="12301" xr:uid="{5151B761-5CCE-44F6-AAA8-9ED08C543E37}"/>
    <cellStyle name="Currency 3 2 2 2 2 4 3" xfId="5874" xr:uid="{00000000-0005-0000-0000-0000B40A0000}"/>
    <cellStyle name="Currency 3 2 2 2 2 4 3 2" xfId="14369" xr:uid="{BFCC0FE7-9D3E-4C6D-B61C-DE8F0410536B}"/>
    <cellStyle name="Currency 3 2 2 2 2 4 4" xfId="10156" xr:uid="{D68CE0F3-9AD5-4B1D-B99C-DB1AE3DF538E}"/>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927" xr:uid="{CAC39D72-FD11-4039-8749-E07119CF1333}"/>
    <cellStyle name="Currency 3 2 2 2 2 5 2 3" xfId="12714" xr:uid="{7BFEBB40-A744-4505-80D6-ED69547B4AA8}"/>
    <cellStyle name="Currency 3 2 2 2 2 5 3" xfId="6287" xr:uid="{00000000-0005-0000-0000-0000B80A0000}"/>
    <cellStyle name="Currency 3 2 2 2 2 5 3 2" xfId="14782" xr:uid="{2E27318E-8AF1-4E87-AB76-FF97093C30E7}"/>
    <cellStyle name="Currency 3 2 2 2 2 5 4" xfId="10569" xr:uid="{600D6D40-BD68-45F9-8DC9-CEEA5B37AE35}"/>
    <cellStyle name="Currency 3 2 2 2 2 6" xfId="2416" xr:uid="{00000000-0005-0000-0000-0000B90A0000}"/>
    <cellStyle name="Currency 3 2 2 2 2 6 2" xfId="6700" xr:uid="{00000000-0005-0000-0000-0000BA0A0000}"/>
    <cellStyle name="Currency 3 2 2 2 2 6 2 2" xfId="15195" xr:uid="{5BE746B5-F841-4B57-B7CA-558CF18239FB}"/>
    <cellStyle name="Currency 3 2 2 2 2 6 3" xfId="10982" xr:uid="{409D4703-917E-464E-B081-46F99AA89D2D}"/>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512" xr:uid="{53BEEADA-875F-4C63-8BDF-14C847EA0A2B}"/>
    <cellStyle name="Currency 3 2 2 2 2 8 3" xfId="11299" xr:uid="{9B117513-B96B-43A8-97DC-8F49C3447419}"/>
    <cellStyle name="Currency 3 2 2 2 2 9" xfId="4634" xr:uid="{00000000-0005-0000-0000-0000BE0A0000}"/>
    <cellStyle name="Currency 3 2 2 2 2 9 2" xfId="13130" xr:uid="{74C95251-715C-40A5-AE0A-8A60EB0C7EB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87" xr:uid="{3580DDCF-2286-43B3-9162-7D8361541607}"/>
    <cellStyle name="Currency 3 2 2 2 3 2 3" xfId="11474" xr:uid="{0E2802F1-64CC-425F-A042-D63C9B2CFD2A}"/>
    <cellStyle name="Currency 3 2 2 2 3 3" xfId="5047" xr:uid="{00000000-0005-0000-0000-0000C20A0000}"/>
    <cellStyle name="Currency 3 2 2 2 3 3 2" xfId="13542" xr:uid="{77D8481E-CA84-469C-8F81-7570474C0CB2}"/>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100" xr:uid="{DD68BB2C-9F40-4219-A407-BB3ABB2B41A6}"/>
    <cellStyle name="Currency 3 2 2 2 4 2 3" xfId="11887" xr:uid="{41D689D3-1717-40FA-839C-D4D73FD51B98}"/>
    <cellStyle name="Currency 3 2 2 2 4 3" xfId="5460" xr:uid="{00000000-0005-0000-0000-0000C60A0000}"/>
    <cellStyle name="Currency 3 2 2 2 4 3 2" xfId="13955" xr:uid="{F83F4C4A-401A-4914-83BA-4F4813A718E7}"/>
    <cellStyle name="Currency 3 2 2 2 4 4" xfId="9742" xr:uid="{9EDEC259-1B6B-409F-ABF9-2AD96FAEE065}"/>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513" xr:uid="{D1099B8F-5D94-425D-AD4C-637AC2E2B632}"/>
    <cellStyle name="Currency 3 2 2 2 5 2 3" xfId="12300" xr:uid="{E49B2100-A2F1-44EF-8A00-350D990EB424}"/>
    <cellStyle name="Currency 3 2 2 2 5 3" xfId="5873" xr:uid="{00000000-0005-0000-0000-0000CA0A0000}"/>
    <cellStyle name="Currency 3 2 2 2 5 3 2" xfId="14368" xr:uid="{B9AFBC38-426F-40C0-8C22-585691F8CCB5}"/>
    <cellStyle name="Currency 3 2 2 2 5 4" xfId="10155" xr:uid="{C168A12F-549A-42FB-B6E7-47454097082C}"/>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926" xr:uid="{A7784F36-5F2C-450D-8908-AE18D9C7CFE9}"/>
    <cellStyle name="Currency 3 2 2 2 6 2 3" xfId="12713" xr:uid="{C2995DCD-CD44-4D9F-B740-E8A753E82B2A}"/>
    <cellStyle name="Currency 3 2 2 2 6 3" xfId="6286" xr:uid="{00000000-0005-0000-0000-0000CE0A0000}"/>
    <cellStyle name="Currency 3 2 2 2 6 3 2" xfId="14781" xr:uid="{B8769175-FF2C-4A2F-A23C-A672FDABA16A}"/>
    <cellStyle name="Currency 3 2 2 2 6 4" xfId="10568" xr:uid="{050E3CF8-97EC-4E08-B357-31D7B403A1A9}"/>
    <cellStyle name="Currency 3 2 2 2 7" xfId="2415" xr:uid="{00000000-0005-0000-0000-0000CF0A0000}"/>
    <cellStyle name="Currency 3 2 2 2 7 2" xfId="6699" xr:uid="{00000000-0005-0000-0000-0000D00A0000}"/>
    <cellStyle name="Currency 3 2 2 2 7 2 2" xfId="15194" xr:uid="{062146AD-4B3F-4543-8086-8C1679CD97CF}"/>
    <cellStyle name="Currency 3 2 2 2 7 3" xfId="10981" xr:uid="{B6EEF547-0094-47EE-BD19-6A4EAC167F27}"/>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511" xr:uid="{88674F68-2E89-4C4A-ABCE-C7D275B43DA5}"/>
    <cellStyle name="Currency 3 2 2 2 9 3" xfId="11298" xr:uid="{47861264-4AAE-4892-A7E6-102AB95FB646}"/>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89" xr:uid="{3F428CF6-F517-43AE-B81A-C22225DFEED4}"/>
    <cellStyle name="Currency 3 2 2 3 2 2 3" xfId="11476" xr:uid="{E9EB14EB-E303-48BC-BC9F-82C1EC44CBB7}"/>
    <cellStyle name="Currency 3 2 2 3 2 3" xfId="5049" xr:uid="{00000000-0005-0000-0000-0000D80A0000}"/>
    <cellStyle name="Currency 3 2 2 3 2 3 2" xfId="13544" xr:uid="{31D6D373-5804-4CBC-B74C-227551C0822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102" xr:uid="{08B09118-33A6-4F5A-A593-95AB369CD1F5}"/>
    <cellStyle name="Currency 3 2 2 3 3 2 3" xfId="11889" xr:uid="{079D3248-5FFE-467D-BF20-3D788667663B}"/>
    <cellStyle name="Currency 3 2 2 3 3 3" xfId="5462" xr:uid="{00000000-0005-0000-0000-0000DC0A0000}"/>
    <cellStyle name="Currency 3 2 2 3 3 3 2" xfId="13957" xr:uid="{0D9087F1-FA9E-46D0-A89D-20362E5EED28}"/>
    <cellStyle name="Currency 3 2 2 3 3 4" xfId="9744" xr:uid="{B6A3EAE7-2294-49B0-9872-8674F9D22FCA}"/>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515" xr:uid="{4032659D-1506-44EC-A7CF-D684CC8DC4EA}"/>
    <cellStyle name="Currency 3 2 2 3 4 2 3" xfId="12302" xr:uid="{9BE75D5D-AD73-44DF-96E1-E27564D572CD}"/>
    <cellStyle name="Currency 3 2 2 3 4 3" xfId="5875" xr:uid="{00000000-0005-0000-0000-0000E00A0000}"/>
    <cellStyle name="Currency 3 2 2 3 4 3 2" xfId="14370" xr:uid="{82A56B95-039F-44B9-AC3F-EBFDE5DBA8FE}"/>
    <cellStyle name="Currency 3 2 2 3 4 4" xfId="10157" xr:uid="{3DB3258C-38A4-40C9-A9F8-7D9BB39A59F9}"/>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928" xr:uid="{7B49AC70-5C4D-4C05-B952-21D15E999E96}"/>
    <cellStyle name="Currency 3 2 2 3 5 2 3" xfId="12715" xr:uid="{6C627610-F756-42FB-B024-E04439DE2423}"/>
    <cellStyle name="Currency 3 2 2 3 5 3" xfId="6288" xr:uid="{00000000-0005-0000-0000-0000E40A0000}"/>
    <cellStyle name="Currency 3 2 2 3 5 3 2" xfId="14783" xr:uid="{544A49A6-9A4F-47AF-BCCB-F3DDD5DBFBB5}"/>
    <cellStyle name="Currency 3 2 2 3 5 4" xfId="10570" xr:uid="{7352543E-E6DD-40DC-9A0C-B678868D01BB}"/>
    <cellStyle name="Currency 3 2 2 3 6" xfId="2417" xr:uid="{00000000-0005-0000-0000-0000E50A0000}"/>
    <cellStyle name="Currency 3 2 2 3 6 2" xfId="6701" xr:uid="{00000000-0005-0000-0000-0000E60A0000}"/>
    <cellStyle name="Currency 3 2 2 3 6 2 2" xfId="15196" xr:uid="{F7427C7B-BFDF-4214-9E9D-93E4026C87FF}"/>
    <cellStyle name="Currency 3 2 2 3 6 3" xfId="10983" xr:uid="{883D7D8B-2935-4C30-B2F5-A94B0265751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513" xr:uid="{876CD91A-3F6A-4EB7-A485-ED3AC6540935}"/>
    <cellStyle name="Currency 3 2 2 3 8 3" xfId="11300" xr:uid="{49A135D7-6FED-4E65-8747-6418158423AC}"/>
    <cellStyle name="Currency 3 2 2 3 9" xfId="4635" xr:uid="{00000000-0005-0000-0000-0000EA0A0000}"/>
    <cellStyle name="Currency 3 2 2 3 9 2" xfId="13131" xr:uid="{CA2BE66E-B91F-4E5E-836C-E179E24A983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86" xr:uid="{F2A96496-7FF1-4023-8F1C-DCAD3DDEF342}"/>
    <cellStyle name="Currency 3 2 2 4 2 3" xfId="11473" xr:uid="{A4227E2D-B97F-4D9C-9456-79EF7FDC966D}"/>
    <cellStyle name="Currency 3 2 2 4 3" xfId="5046" xr:uid="{00000000-0005-0000-0000-0000EE0A0000}"/>
    <cellStyle name="Currency 3 2 2 4 3 2" xfId="13541" xr:uid="{9F489D91-4323-44B8-9554-FB71660B942D}"/>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99" xr:uid="{10A97A55-FD4A-4E08-8672-C1C9D72A5E50}"/>
    <cellStyle name="Currency 3 2 2 5 2 3" xfId="11886" xr:uid="{4920EB34-4728-4017-9B79-ECAD0EABE289}"/>
    <cellStyle name="Currency 3 2 2 5 3" xfId="5459" xr:uid="{00000000-0005-0000-0000-0000F20A0000}"/>
    <cellStyle name="Currency 3 2 2 5 3 2" xfId="13954" xr:uid="{E4C4CE5A-0B2D-4494-BB59-E76058B48871}"/>
    <cellStyle name="Currency 3 2 2 5 4" xfId="9741" xr:uid="{307D7235-A418-4D8D-91AB-76DD3347FD82}"/>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512" xr:uid="{167B6DAE-60F4-4A85-B041-9D3AFE2A35EA}"/>
    <cellStyle name="Currency 3 2 2 6 2 3" xfId="12299" xr:uid="{5CE6E605-07E6-4510-BF24-6542B818489B}"/>
    <cellStyle name="Currency 3 2 2 6 3" xfId="5872" xr:uid="{00000000-0005-0000-0000-0000F60A0000}"/>
    <cellStyle name="Currency 3 2 2 6 3 2" xfId="14367" xr:uid="{F6DB0978-F0DC-44A6-8C6C-34FEEF6325CF}"/>
    <cellStyle name="Currency 3 2 2 6 4" xfId="10154" xr:uid="{CBA06EB4-BA25-4BC6-865B-5DDAE9CD003B}"/>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925" xr:uid="{D6F5796E-C5D8-43C1-88FB-420C56FE5976}"/>
    <cellStyle name="Currency 3 2 2 7 2 3" xfId="12712" xr:uid="{9485624A-B050-4315-814F-72196A819204}"/>
    <cellStyle name="Currency 3 2 2 7 3" xfId="6285" xr:uid="{00000000-0005-0000-0000-0000FA0A0000}"/>
    <cellStyle name="Currency 3 2 2 7 3 2" xfId="14780" xr:uid="{135FCABF-6AB5-43AD-A606-59F551410914}"/>
    <cellStyle name="Currency 3 2 2 7 4" xfId="10567" xr:uid="{7D35624B-9361-4C8F-90E6-AFB2C4F39E22}"/>
    <cellStyle name="Currency 3 2 2 8" xfId="2414" xr:uid="{00000000-0005-0000-0000-0000FB0A0000}"/>
    <cellStyle name="Currency 3 2 2 8 2" xfId="6698" xr:uid="{00000000-0005-0000-0000-0000FC0A0000}"/>
    <cellStyle name="Currency 3 2 2 8 2 2" xfId="15193" xr:uid="{AA81F0C7-518E-4FB5-B77B-EEDC889BA5CC}"/>
    <cellStyle name="Currency 3 2 2 8 3" xfId="10980" xr:uid="{C9FB25CB-B5D7-4B56-AA65-C33FD393FFB2}"/>
    <cellStyle name="Currency 3 2 2 9" xfId="2711" xr:uid="{00000000-0005-0000-0000-0000FD0A0000}"/>
    <cellStyle name="Currency 3 2 3" xfId="182" xr:uid="{00000000-0005-0000-0000-0000FE0A0000}"/>
    <cellStyle name="Currency 3 2 3 10" xfId="4636" xr:uid="{00000000-0005-0000-0000-0000FF0A0000}"/>
    <cellStyle name="Currency 3 2 3 10 2" xfId="13132" xr:uid="{E9952C65-4E10-4E65-A0D1-9A1339F6C50F}"/>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91" xr:uid="{093BE4F2-F5AB-4E6F-A59F-1D70AFD378F0}"/>
    <cellStyle name="Currency 3 2 3 2 2 2 3" xfId="11478" xr:uid="{85A86D0C-A96D-4215-A4D8-43612C29EA63}"/>
    <cellStyle name="Currency 3 2 3 2 2 3" xfId="5051" xr:uid="{00000000-0005-0000-0000-0000040B0000}"/>
    <cellStyle name="Currency 3 2 3 2 2 3 2" xfId="13546" xr:uid="{53680EEE-D865-4312-988C-6571C4F47C54}"/>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104" xr:uid="{F2668703-F29D-4054-ABD8-DCD22DB56315}"/>
    <cellStyle name="Currency 3 2 3 2 3 2 3" xfId="11891" xr:uid="{51AA318E-4046-4589-8D03-61D92E17C687}"/>
    <cellStyle name="Currency 3 2 3 2 3 3" xfId="5464" xr:uid="{00000000-0005-0000-0000-0000080B0000}"/>
    <cellStyle name="Currency 3 2 3 2 3 3 2" xfId="13959" xr:uid="{431C337E-28F0-413B-9E8F-905B55EA8957}"/>
    <cellStyle name="Currency 3 2 3 2 3 4" xfId="9746" xr:uid="{EAD9DF98-394C-4800-8BFA-7C794CA9CC6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517" xr:uid="{405FD324-6CB8-4A56-906E-490E6CE99A30}"/>
    <cellStyle name="Currency 3 2 3 2 4 2 3" xfId="12304" xr:uid="{A631FAA6-FA91-4B84-AB37-30099E932AF9}"/>
    <cellStyle name="Currency 3 2 3 2 4 3" xfId="5877" xr:uid="{00000000-0005-0000-0000-00000C0B0000}"/>
    <cellStyle name="Currency 3 2 3 2 4 3 2" xfId="14372" xr:uid="{E920E797-D939-4B91-AA7C-DC3742374D89}"/>
    <cellStyle name="Currency 3 2 3 2 4 4" xfId="10159" xr:uid="{C36A6242-C479-47E5-85A6-0DB0FB2A97C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930" xr:uid="{1671C251-076A-4611-9EA1-764B0939E7E3}"/>
    <cellStyle name="Currency 3 2 3 2 5 2 3" xfId="12717" xr:uid="{FEDFA370-909F-4194-A21F-0BA04E8F2DE1}"/>
    <cellStyle name="Currency 3 2 3 2 5 3" xfId="6290" xr:uid="{00000000-0005-0000-0000-0000100B0000}"/>
    <cellStyle name="Currency 3 2 3 2 5 3 2" xfId="14785" xr:uid="{3120DE5B-1534-44A1-8447-A6AEEB67177C}"/>
    <cellStyle name="Currency 3 2 3 2 5 4" xfId="10572" xr:uid="{449E4FA2-B423-42AB-830E-C84257D7568D}"/>
    <cellStyle name="Currency 3 2 3 2 6" xfId="2419" xr:uid="{00000000-0005-0000-0000-0000110B0000}"/>
    <cellStyle name="Currency 3 2 3 2 6 2" xfId="6703" xr:uid="{00000000-0005-0000-0000-0000120B0000}"/>
    <cellStyle name="Currency 3 2 3 2 6 2 2" xfId="15198" xr:uid="{431F1FEA-344B-489A-852C-BE1DD6CF8B1E}"/>
    <cellStyle name="Currency 3 2 3 2 6 3" xfId="10985" xr:uid="{C987B8FD-5D6E-44D9-866F-CC1ADF746EA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515" xr:uid="{56665CE2-FE37-45AF-B008-D79A1C630632}"/>
    <cellStyle name="Currency 3 2 3 2 8 3" xfId="11302" xr:uid="{25013DA3-1B50-4A67-8AF4-0FD59C5B6927}"/>
    <cellStyle name="Currency 3 2 3 2 9" xfId="4637" xr:uid="{00000000-0005-0000-0000-0000160B0000}"/>
    <cellStyle name="Currency 3 2 3 2 9 2" xfId="13133" xr:uid="{892143E7-CA6F-48C9-AAFC-749612C7D819}"/>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90" xr:uid="{40E37484-8FEA-4B25-A489-E503674BDC54}"/>
    <cellStyle name="Currency 3 2 3 3 2 3" xfId="11477" xr:uid="{18CC9A8A-4A26-4389-9EC6-A43FB0BE551E}"/>
    <cellStyle name="Currency 3 2 3 3 3" xfId="5050" xr:uid="{00000000-0005-0000-0000-00001A0B0000}"/>
    <cellStyle name="Currency 3 2 3 3 3 2" xfId="13545" xr:uid="{17E316F3-CE6A-408B-8AFC-E65C883EC1B4}"/>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103" xr:uid="{694F83CB-8C8B-46E8-9AE1-A226E12012B9}"/>
    <cellStyle name="Currency 3 2 3 4 2 3" xfId="11890" xr:uid="{133C22AE-4087-4D1F-B44D-366B935BD7CE}"/>
    <cellStyle name="Currency 3 2 3 4 3" xfId="5463" xr:uid="{00000000-0005-0000-0000-00001E0B0000}"/>
    <cellStyle name="Currency 3 2 3 4 3 2" xfId="13958" xr:uid="{E0A1B905-6C95-4E21-910F-35B5B413C618}"/>
    <cellStyle name="Currency 3 2 3 4 4" xfId="9745" xr:uid="{673516CB-A7BA-4782-A8EB-17558D908013}"/>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516" xr:uid="{8B47A146-7285-4F49-B9B4-D75E47958FF0}"/>
    <cellStyle name="Currency 3 2 3 5 2 3" xfId="12303" xr:uid="{2C911AAD-9C11-4D26-A3C6-EAB2FCA59BEC}"/>
    <cellStyle name="Currency 3 2 3 5 3" xfId="5876" xr:uid="{00000000-0005-0000-0000-0000220B0000}"/>
    <cellStyle name="Currency 3 2 3 5 3 2" xfId="14371" xr:uid="{3F1D9C3B-7B0D-4881-9988-2805AD5C7390}"/>
    <cellStyle name="Currency 3 2 3 5 4" xfId="10158" xr:uid="{FBA70BB3-A816-40EA-BAC4-15D29CED286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929" xr:uid="{62782DE6-D6C8-4DFE-9C96-F16106623832}"/>
    <cellStyle name="Currency 3 2 3 6 2 3" xfId="12716" xr:uid="{849ADCD2-0EB5-4942-9372-0FFBCBB63B24}"/>
    <cellStyle name="Currency 3 2 3 6 3" xfId="6289" xr:uid="{00000000-0005-0000-0000-0000260B0000}"/>
    <cellStyle name="Currency 3 2 3 6 3 2" xfId="14784" xr:uid="{62390597-73C6-4A68-8ADE-AE723F6F9348}"/>
    <cellStyle name="Currency 3 2 3 6 4" xfId="10571" xr:uid="{ADDCABF2-285E-4F7C-B1AB-E9E5DC81D34F}"/>
    <cellStyle name="Currency 3 2 3 7" xfId="2418" xr:uid="{00000000-0005-0000-0000-0000270B0000}"/>
    <cellStyle name="Currency 3 2 3 7 2" xfId="6702" xr:uid="{00000000-0005-0000-0000-0000280B0000}"/>
    <cellStyle name="Currency 3 2 3 7 2 2" xfId="15197" xr:uid="{130C0A12-5505-4B04-ADBB-6DB08A46059D}"/>
    <cellStyle name="Currency 3 2 3 7 3" xfId="10984" xr:uid="{18EA3816-296A-41C6-AEEC-286FE906078B}"/>
    <cellStyle name="Currency 3 2 3 8" xfId="2715" xr:uid="{00000000-0005-0000-0000-0000290B0000}"/>
    <cellStyle name="Currency 3 2 3 9" xfId="2796" xr:uid="{00000000-0005-0000-0000-00002A0B0000}"/>
    <cellStyle name="Currency 3 2 3 9 2" xfId="7019" xr:uid="{00000000-0005-0000-0000-00002B0B0000}"/>
    <cellStyle name="Currency 3 2 3 9 2 2" xfId="15514" xr:uid="{4C187A47-E295-4C2D-926E-FB4A0534A615}"/>
    <cellStyle name="Currency 3 2 3 9 3" xfId="11301" xr:uid="{4E767288-9CFA-46E8-85C2-6F52900C4FDE}"/>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92" xr:uid="{1265E7F8-B828-430E-A042-F105DEFA5A78}"/>
    <cellStyle name="Currency 3 2 4 2 2 3" xfId="11479" xr:uid="{2949EBC0-1A67-4E36-B82E-E3F45819FE88}"/>
    <cellStyle name="Currency 3 2 4 2 3" xfId="5052" xr:uid="{00000000-0005-0000-0000-0000300B0000}"/>
    <cellStyle name="Currency 3 2 4 2 3 2" xfId="13547" xr:uid="{B27BF86C-8961-4573-BDB4-41441890E4E5}"/>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105" xr:uid="{F93DB994-BCB8-4A04-93E3-9F25CF822494}"/>
    <cellStyle name="Currency 3 2 4 3 2 3" xfId="11892" xr:uid="{379B4ECB-4B2A-4F1B-AD86-D567CE02331E}"/>
    <cellStyle name="Currency 3 2 4 3 3" xfId="5465" xr:uid="{00000000-0005-0000-0000-0000340B0000}"/>
    <cellStyle name="Currency 3 2 4 3 3 2" xfId="13960" xr:uid="{1B01A7E8-3C0C-4F53-BC2D-AB0B4E239E10}"/>
    <cellStyle name="Currency 3 2 4 3 4" xfId="9747" xr:uid="{B86E297A-CFA1-40E8-9890-64C2C6746880}"/>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518" xr:uid="{B4340843-A0CE-4956-9175-C2E39ECB071E}"/>
    <cellStyle name="Currency 3 2 4 4 2 3" xfId="12305" xr:uid="{4117B6BD-9646-4BBE-9B61-0B08FCDC0535}"/>
    <cellStyle name="Currency 3 2 4 4 3" xfId="5878" xr:uid="{00000000-0005-0000-0000-0000380B0000}"/>
    <cellStyle name="Currency 3 2 4 4 3 2" xfId="14373" xr:uid="{73EA7B04-ECFA-4E8D-89DB-CAF20D9B6E22}"/>
    <cellStyle name="Currency 3 2 4 4 4" xfId="10160" xr:uid="{0EF89814-9B32-4066-B43F-E35EB902D58C}"/>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931" xr:uid="{7B87198F-6D2F-4737-9088-62ACBABB5C45}"/>
    <cellStyle name="Currency 3 2 4 5 2 3" xfId="12718" xr:uid="{0BC08A8C-AA10-456D-8C44-93F13BCADB8E}"/>
    <cellStyle name="Currency 3 2 4 5 3" xfId="6291" xr:uid="{00000000-0005-0000-0000-00003C0B0000}"/>
    <cellStyle name="Currency 3 2 4 5 3 2" xfId="14786" xr:uid="{671DC9EC-3356-4C84-9DAE-223010D443BD}"/>
    <cellStyle name="Currency 3 2 4 5 4" xfId="10573" xr:uid="{E3C44DA0-5329-4ADC-A538-E791F4AF0404}"/>
    <cellStyle name="Currency 3 2 4 6" xfId="2420" xr:uid="{00000000-0005-0000-0000-00003D0B0000}"/>
    <cellStyle name="Currency 3 2 4 6 2" xfId="6704" xr:uid="{00000000-0005-0000-0000-00003E0B0000}"/>
    <cellStyle name="Currency 3 2 4 6 2 2" xfId="15199" xr:uid="{5E81B6CF-625A-4D38-8314-7123CCCC59AF}"/>
    <cellStyle name="Currency 3 2 4 6 3" xfId="10986" xr:uid="{DD52D54C-F9D0-4320-AD7C-AD26FCA9D0D8}"/>
    <cellStyle name="Currency 3 2 4 7" xfId="2717" xr:uid="{00000000-0005-0000-0000-00003F0B0000}"/>
    <cellStyle name="Currency 3 2 4 8" xfId="2798" xr:uid="{00000000-0005-0000-0000-0000400B0000}"/>
    <cellStyle name="Currency 3 2 4 8 2" xfId="7021" xr:uid="{00000000-0005-0000-0000-0000410B0000}"/>
    <cellStyle name="Currency 3 2 4 8 2 2" xfId="15516" xr:uid="{F7E54EA5-93BE-4434-BE69-2F3433C598DD}"/>
    <cellStyle name="Currency 3 2 4 8 3" xfId="11303" xr:uid="{26086AAC-F30F-45E3-B406-35C2110E66EF}"/>
    <cellStyle name="Currency 3 2 4 9" xfId="4638" xr:uid="{00000000-0005-0000-0000-0000420B0000}"/>
    <cellStyle name="Currency 3 2 4 9 2" xfId="13134" xr:uid="{06310474-CEAB-469A-9DF5-E97A0C6C9228}"/>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93" xr:uid="{3DE80196-ACBD-4619-A467-0C0A7F38CAE8}"/>
    <cellStyle name="Currency 3 2 5 2 2 3" xfId="11480" xr:uid="{7BE7D138-5473-43CD-B284-2A8470303CA5}"/>
    <cellStyle name="Currency 3 2 5 2 3" xfId="5053" xr:uid="{00000000-0005-0000-0000-0000470B0000}"/>
    <cellStyle name="Currency 3 2 5 2 3 2" xfId="13548" xr:uid="{A32DDC51-74B1-4ECF-9893-BC6F65228CB4}"/>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106" xr:uid="{0CD79141-7AEA-4EEF-AB29-0096D34D90B7}"/>
    <cellStyle name="Currency 3 2 5 3 2 3" xfId="11893" xr:uid="{24689114-FE43-4B25-92C0-63B4FE4508F8}"/>
    <cellStyle name="Currency 3 2 5 3 3" xfId="5466" xr:uid="{00000000-0005-0000-0000-00004B0B0000}"/>
    <cellStyle name="Currency 3 2 5 3 3 2" xfId="13961" xr:uid="{F71D5A29-DEF3-433E-8C2E-87B70E4B8211}"/>
    <cellStyle name="Currency 3 2 5 3 4" xfId="9748" xr:uid="{75699FF3-3C9C-48EB-8B30-5C7F95B56A44}"/>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519" xr:uid="{29176E18-6788-4C93-BFB8-E375DC8D604C}"/>
    <cellStyle name="Currency 3 2 5 4 2 3" xfId="12306" xr:uid="{7BB80F7B-9EF2-408A-8A4E-4A1B7D62D064}"/>
    <cellStyle name="Currency 3 2 5 4 3" xfId="5879" xr:uid="{00000000-0005-0000-0000-00004F0B0000}"/>
    <cellStyle name="Currency 3 2 5 4 3 2" xfId="14374" xr:uid="{5797C208-D8A1-4D8B-A37A-2623001C1B1F}"/>
    <cellStyle name="Currency 3 2 5 4 4" xfId="10161" xr:uid="{FEB2C28C-E7FA-435C-B0B1-9DFDCF5B2526}"/>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932" xr:uid="{24941C93-BFEB-454F-99E6-3743162DB718}"/>
    <cellStyle name="Currency 3 2 5 5 2 3" xfId="12719" xr:uid="{9D382EA7-EED0-4B0F-8A28-4B0691372820}"/>
    <cellStyle name="Currency 3 2 5 5 3" xfId="6292" xr:uid="{00000000-0005-0000-0000-0000530B0000}"/>
    <cellStyle name="Currency 3 2 5 5 3 2" xfId="14787" xr:uid="{B0B89FE1-5875-4BED-A3C3-353EEA90264E}"/>
    <cellStyle name="Currency 3 2 5 5 4" xfId="10574" xr:uid="{AB96E91E-B095-48C2-AA42-8B1BB431963A}"/>
    <cellStyle name="Currency 3 2 5 6" xfId="2421" xr:uid="{00000000-0005-0000-0000-0000540B0000}"/>
    <cellStyle name="Currency 3 2 5 6 2" xfId="6705" xr:uid="{00000000-0005-0000-0000-0000550B0000}"/>
    <cellStyle name="Currency 3 2 5 6 2 2" xfId="15200" xr:uid="{C971BC02-8784-46E7-A174-0C23E25C672E}"/>
    <cellStyle name="Currency 3 2 5 6 3" xfId="10987" xr:uid="{04287E40-93BF-4DCA-BDE6-A0CA0CAD7858}"/>
    <cellStyle name="Currency 3 2 5 7" xfId="2718" xr:uid="{00000000-0005-0000-0000-0000560B0000}"/>
    <cellStyle name="Currency 3 2 5 8" xfId="2799" xr:uid="{00000000-0005-0000-0000-0000570B0000}"/>
    <cellStyle name="Currency 3 2 5 8 2" xfId="7022" xr:uid="{00000000-0005-0000-0000-0000580B0000}"/>
    <cellStyle name="Currency 3 2 5 8 2 2" xfId="15517" xr:uid="{D8C8C62A-FD2A-4913-94AD-BD3886AFE87E}"/>
    <cellStyle name="Currency 3 2 5 8 3" xfId="11304" xr:uid="{47FBFE49-5453-49C9-9334-D6CBC546C474}"/>
    <cellStyle name="Currency 3 2 5 9" xfId="4639" xr:uid="{00000000-0005-0000-0000-0000590B0000}"/>
    <cellStyle name="Currency 3 2 5 9 2" xfId="13135" xr:uid="{99828215-57D2-41AD-A980-B5AE7DF9D035}"/>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518" xr:uid="{65C45C7F-BC44-4B2B-8161-5A5415A42D1D}"/>
    <cellStyle name="Currency 5 2 2 2 10 3" xfId="11305" xr:uid="{02693754-D2C7-4637-AE24-A2792CDFCBD6}"/>
    <cellStyle name="Currency 5 2 2 2 11" xfId="4640" xr:uid="{00000000-0005-0000-0000-00006C0B0000}"/>
    <cellStyle name="Currency 5 2 2 2 11 2" xfId="13136" xr:uid="{C222D25C-4911-475F-A9DB-C943ED086F7B}"/>
    <cellStyle name="Currency 5 2 2 2 12" xfId="8809" xr:uid="{6E2B58BA-BC61-49BF-A0FE-5BC79A050654}"/>
    <cellStyle name="Currency 5 2 2 2 2" xfId="197" xr:uid="{00000000-0005-0000-0000-00006D0B0000}"/>
    <cellStyle name="Currency 5 2 2 2 2 10" xfId="4641" xr:uid="{00000000-0005-0000-0000-00006E0B0000}"/>
    <cellStyle name="Currency 5 2 2 2 2 10 2" xfId="13137" xr:uid="{6C9A85A5-3E9C-44CA-BC19-C564049F3DD7}"/>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96" xr:uid="{9EE32808-D126-4E84-8EF3-F16074267471}"/>
    <cellStyle name="Currency 5 2 2 2 2 2 2 2 3" xfId="11483" xr:uid="{A094ABFC-B98F-404C-A5F7-2C8B565488C0}"/>
    <cellStyle name="Currency 5 2 2 2 2 2 2 3" xfId="5056" xr:uid="{00000000-0005-0000-0000-0000730B0000}"/>
    <cellStyle name="Currency 5 2 2 2 2 2 2 3 2" xfId="13551" xr:uid="{28BFD2C4-734E-4D4D-AF94-89C979B39D4D}"/>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109" xr:uid="{D0B6F298-0DC3-4BB6-AB22-5212B4821160}"/>
    <cellStyle name="Currency 5 2 2 2 2 2 3 2 3" xfId="11896" xr:uid="{2811825C-1DF9-4CF9-9B75-2A0EA661DD04}"/>
    <cellStyle name="Currency 5 2 2 2 2 2 3 3" xfId="5469" xr:uid="{00000000-0005-0000-0000-0000770B0000}"/>
    <cellStyle name="Currency 5 2 2 2 2 2 3 3 2" xfId="13964" xr:uid="{7466EA4C-5ECC-436C-A474-4CC0AA156FC5}"/>
    <cellStyle name="Currency 5 2 2 2 2 2 3 4" xfId="9751" xr:uid="{7F59BD67-B528-4B23-A021-168F2AE30631}"/>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522" xr:uid="{18CA7A53-CA34-4911-A04F-CCCF65B54B16}"/>
    <cellStyle name="Currency 5 2 2 2 2 2 4 2 3" xfId="12309" xr:uid="{2C0D03EB-A424-4F2D-8260-8B659EED4C25}"/>
    <cellStyle name="Currency 5 2 2 2 2 2 4 3" xfId="5882" xr:uid="{00000000-0005-0000-0000-00007B0B0000}"/>
    <cellStyle name="Currency 5 2 2 2 2 2 4 3 2" xfId="14377" xr:uid="{D7C6AF18-B9B3-4FCD-85BA-16CB146F5F73}"/>
    <cellStyle name="Currency 5 2 2 2 2 2 4 4" xfId="10164" xr:uid="{53B5D097-FA77-4C34-9579-1B911A4B544B}"/>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935" xr:uid="{20DD4B58-36ED-4079-B12A-857B801CAE57}"/>
    <cellStyle name="Currency 5 2 2 2 2 2 5 2 3" xfId="12722" xr:uid="{AA49F601-EB17-42A1-AA9A-194BE548F632}"/>
    <cellStyle name="Currency 5 2 2 2 2 2 5 3" xfId="6295" xr:uid="{00000000-0005-0000-0000-00007F0B0000}"/>
    <cellStyle name="Currency 5 2 2 2 2 2 5 3 2" xfId="14790" xr:uid="{2F9A58D9-3300-4515-8071-27A212B94B2D}"/>
    <cellStyle name="Currency 5 2 2 2 2 2 5 4" xfId="10577" xr:uid="{72077F68-8D54-4EAA-AB8D-8960A1A855BD}"/>
    <cellStyle name="Currency 5 2 2 2 2 2 6" xfId="2424" xr:uid="{00000000-0005-0000-0000-0000800B0000}"/>
    <cellStyle name="Currency 5 2 2 2 2 2 6 2" xfId="6708" xr:uid="{00000000-0005-0000-0000-0000810B0000}"/>
    <cellStyle name="Currency 5 2 2 2 2 2 6 2 2" xfId="15203" xr:uid="{7B14605F-C3B1-4448-A143-A395A1A7AA59}"/>
    <cellStyle name="Currency 5 2 2 2 2 2 6 3" xfId="10990" xr:uid="{27AE75BF-919F-4C92-92BE-60D47C79EE41}"/>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520" xr:uid="{9A6D54AA-1A95-43FC-AF49-75C2CB243542}"/>
    <cellStyle name="Currency 5 2 2 2 2 2 8 3" xfId="11307" xr:uid="{8A86631C-8746-4F7B-8C6E-1813778E47AC}"/>
    <cellStyle name="Currency 5 2 2 2 2 2 9" xfId="4642" xr:uid="{00000000-0005-0000-0000-0000850B0000}"/>
    <cellStyle name="Currency 5 2 2 2 2 2 9 2" xfId="13138" xr:uid="{4533CE35-31F4-4BC5-B200-7909DD7DD6BA}"/>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95" xr:uid="{4B3CA926-DE48-482D-B673-5C2B2761123F}"/>
    <cellStyle name="Currency 5 2 2 2 2 3 2 3" xfId="11482" xr:uid="{84A47BE3-23C4-4495-A3DD-D454D4E80EAB}"/>
    <cellStyle name="Currency 5 2 2 2 2 3 3" xfId="5055" xr:uid="{00000000-0005-0000-0000-0000890B0000}"/>
    <cellStyle name="Currency 5 2 2 2 2 3 3 2" xfId="13550" xr:uid="{1EBCC314-7DAA-4992-A828-92B02A12249E}"/>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108" xr:uid="{D72A140C-BEA7-435B-A2F3-7E43C5A71548}"/>
    <cellStyle name="Currency 5 2 2 2 2 4 2 3" xfId="11895" xr:uid="{CC20AEBD-EEF6-424B-94F6-B095C1051434}"/>
    <cellStyle name="Currency 5 2 2 2 2 4 3" xfId="5468" xr:uid="{00000000-0005-0000-0000-00008D0B0000}"/>
    <cellStyle name="Currency 5 2 2 2 2 4 3 2" xfId="13963" xr:uid="{754BE67A-0AC7-416F-9FAA-D5D28E99B6D6}"/>
    <cellStyle name="Currency 5 2 2 2 2 4 4" xfId="9750" xr:uid="{F6281517-48FD-4A8A-912F-0631418DDE53}"/>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521" xr:uid="{8C911A76-4AC6-4E10-8009-77E4864F7A0F}"/>
    <cellStyle name="Currency 5 2 2 2 2 5 2 3" xfId="12308" xr:uid="{F8F8E8FC-A0CE-47A1-A76B-8A313A485855}"/>
    <cellStyle name="Currency 5 2 2 2 2 5 3" xfId="5881" xr:uid="{00000000-0005-0000-0000-0000910B0000}"/>
    <cellStyle name="Currency 5 2 2 2 2 5 3 2" xfId="14376" xr:uid="{D2DA5BFA-858C-4CF2-9255-6AF5EEACDADA}"/>
    <cellStyle name="Currency 5 2 2 2 2 5 4" xfId="10163" xr:uid="{1215E203-B993-4DD0-B12B-B55508E3A98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934" xr:uid="{ABA7B6BB-7C84-4069-AD3E-5E109BF366E2}"/>
    <cellStyle name="Currency 5 2 2 2 2 6 2 3" xfId="12721" xr:uid="{9FDB4B14-8325-4A7E-B3FB-0D6F6BBC3F8C}"/>
    <cellStyle name="Currency 5 2 2 2 2 6 3" xfId="6294" xr:uid="{00000000-0005-0000-0000-0000950B0000}"/>
    <cellStyle name="Currency 5 2 2 2 2 6 3 2" xfId="14789" xr:uid="{3C950ECA-E5C9-4784-BD25-081FB43FF503}"/>
    <cellStyle name="Currency 5 2 2 2 2 6 4" xfId="10576" xr:uid="{9B445212-3CAA-41DD-B115-0EF0FC8D8FA3}"/>
    <cellStyle name="Currency 5 2 2 2 2 7" xfId="2423" xr:uid="{00000000-0005-0000-0000-0000960B0000}"/>
    <cellStyle name="Currency 5 2 2 2 2 7 2" xfId="6707" xr:uid="{00000000-0005-0000-0000-0000970B0000}"/>
    <cellStyle name="Currency 5 2 2 2 2 7 2 2" xfId="15202" xr:uid="{0A20FBFE-CE8E-49B6-B956-661CE62DCDAE}"/>
    <cellStyle name="Currency 5 2 2 2 2 7 3" xfId="10989" xr:uid="{C787CAFC-FD8F-46C6-AB2C-0727E735D92E}"/>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519" xr:uid="{89204F9D-45C2-40A5-B50F-7FEBE7C34321}"/>
    <cellStyle name="Currency 5 2 2 2 2 9 3" xfId="11306" xr:uid="{BBE92428-8B34-4904-B5A5-1F00EA797602}"/>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97" xr:uid="{F1CAEBA3-9B39-49DF-A2D8-3D6EE55F6409}"/>
    <cellStyle name="Currency 5 2 2 2 3 2 2 3" xfId="11484" xr:uid="{D4FD6BCF-563B-4A4E-8F3E-C7109E24D962}"/>
    <cellStyle name="Currency 5 2 2 2 3 2 3" xfId="5057" xr:uid="{00000000-0005-0000-0000-00009F0B0000}"/>
    <cellStyle name="Currency 5 2 2 2 3 2 3 2" xfId="13552" xr:uid="{F7468C5C-D696-4432-A5B0-EEB5D29E7A7B}"/>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110" xr:uid="{41C96EA8-4293-41D1-963F-FD6739AF3D17}"/>
    <cellStyle name="Currency 5 2 2 2 3 3 2 3" xfId="11897" xr:uid="{AECFDEA1-14B7-4854-87A2-580A2E1D8687}"/>
    <cellStyle name="Currency 5 2 2 2 3 3 3" xfId="5470" xr:uid="{00000000-0005-0000-0000-0000A30B0000}"/>
    <cellStyle name="Currency 5 2 2 2 3 3 3 2" xfId="13965" xr:uid="{E9F39704-59B3-4994-ABE9-B757D4D9AE09}"/>
    <cellStyle name="Currency 5 2 2 2 3 3 4" xfId="9752" xr:uid="{D27C57CA-33CE-4224-88F2-3409C987E06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523" xr:uid="{EE58A85F-BB25-482F-9D45-255B83B35305}"/>
    <cellStyle name="Currency 5 2 2 2 3 4 2 3" xfId="12310" xr:uid="{104402E5-C030-479A-BF47-48681E12AA2A}"/>
    <cellStyle name="Currency 5 2 2 2 3 4 3" xfId="5883" xr:uid="{00000000-0005-0000-0000-0000A70B0000}"/>
    <cellStyle name="Currency 5 2 2 2 3 4 3 2" xfId="14378" xr:uid="{5A010303-5CC5-41D5-8501-D4A3AEA37D9C}"/>
    <cellStyle name="Currency 5 2 2 2 3 4 4" xfId="10165" xr:uid="{DB43EA2E-941C-4F66-9800-E546EA73C03A}"/>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936" xr:uid="{45434C78-82BC-4AC0-B0AB-CCDC3F8D1A59}"/>
    <cellStyle name="Currency 5 2 2 2 3 5 2 3" xfId="12723" xr:uid="{D7EDBF21-3A76-4BD5-A77A-8F7CDA47FDB7}"/>
    <cellStyle name="Currency 5 2 2 2 3 5 3" xfId="6296" xr:uid="{00000000-0005-0000-0000-0000AB0B0000}"/>
    <cellStyle name="Currency 5 2 2 2 3 5 3 2" xfId="14791" xr:uid="{A60982A8-06E7-4594-BE1E-001E471FC55A}"/>
    <cellStyle name="Currency 5 2 2 2 3 5 4" xfId="10578" xr:uid="{A0B22740-BB82-400C-BB82-F1505D612AE0}"/>
    <cellStyle name="Currency 5 2 2 2 3 6" xfId="2425" xr:uid="{00000000-0005-0000-0000-0000AC0B0000}"/>
    <cellStyle name="Currency 5 2 2 2 3 6 2" xfId="6709" xr:uid="{00000000-0005-0000-0000-0000AD0B0000}"/>
    <cellStyle name="Currency 5 2 2 2 3 6 2 2" xfId="15204" xr:uid="{90C55C71-F1CB-403A-88FB-391F3BECA8DB}"/>
    <cellStyle name="Currency 5 2 2 2 3 6 3" xfId="10991" xr:uid="{8B113CAD-FBC0-4C7E-94B1-5B096733F8F2}"/>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521" xr:uid="{233F6091-0A70-4D93-8E2B-1A31C20FF226}"/>
    <cellStyle name="Currency 5 2 2 2 3 8 3" xfId="11308" xr:uid="{D0661052-3A50-4A68-BC39-A5EA9E443685}"/>
    <cellStyle name="Currency 5 2 2 2 3 9" xfId="4643" xr:uid="{00000000-0005-0000-0000-0000B10B0000}"/>
    <cellStyle name="Currency 5 2 2 2 3 9 2" xfId="13139" xr:uid="{9EC9DE4F-C55D-403B-B43B-32B92F586157}"/>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94" xr:uid="{F5203804-6456-44B7-81EE-71A2E7AAB4AD}"/>
    <cellStyle name="Currency 5 2 2 2 4 2 3" xfId="11481" xr:uid="{588FDB4A-2FCE-4CF2-865B-6EFEE7792458}"/>
    <cellStyle name="Currency 5 2 2 2 4 3" xfId="5054" xr:uid="{00000000-0005-0000-0000-0000B50B0000}"/>
    <cellStyle name="Currency 5 2 2 2 4 3 2" xfId="13549" xr:uid="{29928736-2C1E-4300-A7F4-D18707CE7EBF}"/>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107" xr:uid="{E26F7971-201B-41E6-ABCD-DA0EFFA96A0B}"/>
    <cellStyle name="Currency 5 2 2 2 5 2 3" xfId="11894" xr:uid="{E9DB1A3D-5181-45AF-90D4-39CFF64EA1CC}"/>
    <cellStyle name="Currency 5 2 2 2 5 3" xfId="5467" xr:uid="{00000000-0005-0000-0000-0000B90B0000}"/>
    <cellStyle name="Currency 5 2 2 2 5 3 2" xfId="13962" xr:uid="{DE8E17B2-EFCC-4765-B88C-E951187DC1ED}"/>
    <cellStyle name="Currency 5 2 2 2 5 4" xfId="9749" xr:uid="{CD2E587A-E97E-4C80-A356-7BD8913D71AC}"/>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520" xr:uid="{F2FB9246-5C2B-44AE-8CD0-074282E127CE}"/>
    <cellStyle name="Currency 5 2 2 2 6 2 3" xfId="12307" xr:uid="{8B3BD154-48DC-4D1C-9CF3-AABC0AE15274}"/>
    <cellStyle name="Currency 5 2 2 2 6 3" xfId="5880" xr:uid="{00000000-0005-0000-0000-0000BD0B0000}"/>
    <cellStyle name="Currency 5 2 2 2 6 3 2" xfId="14375" xr:uid="{1BE1CB8B-69E2-4102-A364-518C72540D07}"/>
    <cellStyle name="Currency 5 2 2 2 6 4" xfId="10162" xr:uid="{1C239786-5A68-419B-94F2-BE581502485E}"/>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933" xr:uid="{A400E1E5-FFAD-4041-9D5A-25A9636A0B30}"/>
    <cellStyle name="Currency 5 2 2 2 7 2 3" xfId="12720" xr:uid="{4FDA7EB4-21AB-4BA7-ACEE-46C2AC26A30E}"/>
    <cellStyle name="Currency 5 2 2 2 7 3" xfId="6293" xr:uid="{00000000-0005-0000-0000-0000C10B0000}"/>
    <cellStyle name="Currency 5 2 2 2 7 3 2" xfId="14788" xr:uid="{32C3A34F-D9FA-4F95-B9E8-7D505B1C1BF0}"/>
    <cellStyle name="Currency 5 2 2 2 7 4" xfId="10575" xr:uid="{DFBB06BA-5D37-47AC-8FD9-DB20379FFCF4}"/>
    <cellStyle name="Currency 5 2 2 2 8" xfId="2422" xr:uid="{00000000-0005-0000-0000-0000C20B0000}"/>
    <cellStyle name="Currency 5 2 2 2 8 2" xfId="6706" xr:uid="{00000000-0005-0000-0000-0000C30B0000}"/>
    <cellStyle name="Currency 5 2 2 2 8 2 2" xfId="15201" xr:uid="{8D5AEE56-8B28-4806-A52C-A9E20720CAE0}"/>
    <cellStyle name="Currency 5 2 2 2 8 3" xfId="10988" xr:uid="{D14740C8-4F60-4441-B86C-9D28F16379CD}"/>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140" xr:uid="{D106F2F1-6837-4ED9-B0C7-8820D0CC0369}"/>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99" xr:uid="{5D70238B-3B79-4AC5-8B2C-6617FBDE89A8}"/>
    <cellStyle name="Currency 5 2 2 3 2 2 2 3" xfId="11486" xr:uid="{FC44788B-0EBA-4E65-A535-6B6FAFC7594F}"/>
    <cellStyle name="Currency 5 2 2 3 2 2 3" xfId="5059" xr:uid="{00000000-0005-0000-0000-0000CB0B0000}"/>
    <cellStyle name="Currency 5 2 2 3 2 2 3 2" xfId="13554" xr:uid="{0031BE89-9CA5-48DB-B117-28DBE72D46A6}"/>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112" xr:uid="{E3253A76-8731-4E92-87C8-FCF64CF351E7}"/>
    <cellStyle name="Currency 5 2 2 3 2 3 2 3" xfId="11899" xr:uid="{3D6298FE-497D-4963-A2EA-1312EEEAE67C}"/>
    <cellStyle name="Currency 5 2 2 3 2 3 3" xfId="5472" xr:uid="{00000000-0005-0000-0000-0000CF0B0000}"/>
    <cellStyle name="Currency 5 2 2 3 2 3 3 2" xfId="13967" xr:uid="{DF806C50-9BD4-4767-A045-BC0EBE4A7920}"/>
    <cellStyle name="Currency 5 2 2 3 2 3 4" xfId="9754" xr:uid="{0E4D877F-9333-4F67-8775-3A62264DA6B6}"/>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525" xr:uid="{4DBFF043-405F-4429-91CA-929D6B7D52CF}"/>
    <cellStyle name="Currency 5 2 2 3 2 4 2 3" xfId="12312" xr:uid="{791C54BE-81D5-4BB0-86B7-A3D92FF2E0B8}"/>
    <cellStyle name="Currency 5 2 2 3 2 4 3" xfId="5885" xr:uid="{00000000-0005-0000-0000-0000D30B0000}"/>
    <cellStyle name="Currency 5 2 2 3 2 4 3 2" xfId="14380" xr:uid="{3FDCF374-8FC1-4311-A5CA-5A837D6FE576}"/>
    <cellStyle name="Currency 5 2 2 3 2 4 4" xfId="10167" xr:uid="{4EAC6DD1-492B-4298-8646-439E38C1A01E}"/>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938" xr:uid="{189AD233-11EA-4EA9-A157-997FBAE1CA2E}"/>
    <cellStyle name="Currency 5 2 2 3 2 5 2 3" xfId="12725" xr:uid="{0E901AA1-27B0-4447-B0E1-9E9B6630C1D3}"/>
    <cellStyle name="Currency 5 2 2 3 2 5 3" xfId="6298" xr:uid="{00000000-0005-0000-0000-0000D70B0000}"/>
    <cellStyle name="Currency 5 2 2 3 2 5 3 2" xfId="14793" xr:uid="{4A0FB3B2-7328-4591-B6BC-0C8B9B66FEA7}"/>
    <cellStyle name="Currency 5 2 2 3 2 5 4" xfId="10580" xr:uid="{C4C56816-2009-42DE-A36F-688317A8955F}"/>
    <cellStyle name="Currency 5 2 2 3 2 6" xfId="2427" xr:uid="{00000000-0005-0000-0000-0000D80B0000}"/>
    <cellStyle name="Currency 5 2 2 3 2 6 2" xfId="6711" xr:uid="{00000000-0005-0000-0000-0000D90B0000}"/>
    <cellStyle name="Currency 5 2 2 3 2 6 2 2" xfId="15206" xr:uid="{FE9EB8BC-F28B-4A2E-B20F-3CA201A2764B}"/>
    <cellStyle name="Currency 5 2 2 3 2 6 3" xfId="10993" xr:uid="{F8D0C13B-7E2D-459C-A8E0-04C633E502AD}"/>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523" xr:uid="{9E62BD27-63E3-485F-991A-1AA3C463D741}"/>
    <cellStyle name="Currency 5 2 2 3 2 8 3" xfId="11310" xr:uid="{7F8029FB-C1A5-4A2F-ACEF-9C47186B237D}"/>
    <cellStyle name="Currency 5 2 2 3 2 9" xfId="4645" xr:uid="{00000000-0005-0000-0000-0000DD0B0000}"/>
    <cellStyle name="Currency 5 2 2 3 2 9 2" xfId="13141" xr:uid="{30A84EA4-48CB-4128-A957-0A0DFEA1373C}"/>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98" xr:uid="{A4F1297A-7DE9-4EE9-9492-E93A3E56C91F}"/>
    <cellStyle name="Currency 5 2 2 3 3 2 3" xfId="11485" xr:uid="{2DEC616F-44E2-48A5-BE6F-0B8A1A0DDEA9}"/>
    <cellStyle name="Currency 5 2 2 3 3 3" xfId="5058" xr:uid="{00000000-0005-0000-0000-0000E10B0000}"/>
    <cellStyle name="Currency 5 2 2 3 3 3 2" xfId="13553" xr:uid="{888E6F29-F0AA-4DF3-8A92-CE8ABAFB3F17}"/>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111" xr:uid="{DE682E9F-607F-4A56-B6AE-2E61D0E92441}"/>
    <cellStyle name="Currency 5 2 2 3 4 2 3" xfId="11898" xr:uid="{BA09370B-7A37-4BD6-B8AF-9E6F8B41A0F1}"/>
    <cellStyle name="Currency 5 2 2 3 4 3" xfId="5471" xr:uid="{00000000-0005-0000-0000-0000E50B0000}"/>
    <cellStyle name="Currency 5 2 2 3 4 3 2" xfId="13966" xr:uid="{EE11AFFF-1250-454F-89F0-6284AB5FCA71}"/>
    <cellStyle name="Currency 5 2 2 3 4 4" xfId="9753" xr:uid="{742598DB-DA84-440C-B3F2-0F0B81CD8F4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524" xr:uid="{AD1B3DBA-86B9-42CA-8F8B-E6B8F08D74A2}"/>
    <cellStyle name="Currency 5 2 2 3 5 2 3" xfId="12311" xr:uid="{7FC327F1-B97C-4453-B3F1-85F8BD51478D}"/>
    <cellStyle name="Currency 5 2 2 3 5 3" xfId="5884" xr:uid="{00000000-0005-0000-0000-0000E90B0000}"/>
    <cellStyle name="Currency 5 2 2 3 5 3 2" xfId="14379" xr:uid="{79A4CA14-5346-45E0-851C-0FDCE1699AF2}"/>
    <cellStyle name="Currency 5 2 2 3 5 4" xfId="10166" xr:uid="{0F1F55B2-D3AA-473E-BBF4-90BE3F2F244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937" xr:uid="{FD435A16-F356-47C4-BAF3-6197542CD257}"/>
    <cellStyle name="Currency 5 2 2 3 6 2 3" xfId="12724" xr:uid="{28A67774-F3F4-4270-9995-0178B6CB0332}"/>
    <cellStyle name="Currency 5 2 2 3 6 3" xfId="6297" xr:uid="{00000000-0005-0000-0000-0000ED0B0000}"/>
    <cellStyle name="Currency 5 2 2 3 6 3 2" xfId="14792" xr:uid="{9FF061C0-3270-4281-9291-40CE8D8BC832}"/>
    <cellStyle name="Currency 5 2 2 3 6 4" xfId="10579" xr:uid="{7D621E51-12EA-4A2A-BCF8-15DDA7E91044}"/>
    <cellStyle name="Currency 5 2 2 3 7" xfId="2426" xr:uid="{00000000-0005-0000-0000-0000EE0B0000}"/>
    <cellStyle name="Currency 5 2 2 3 7 2" xfId="6710" xr:uid="{00000000-0005-0000-0000-0000EF0B0000}"/>
    <cellStyle name="Currency 5 2 2 3 7 2 2" xfId="15205" xr:uid="{9379B3C3-51FF-4682-B66E-A87771EB6D07}"/>
    <cellStyle name="Currency 5 2 2 3 7 3" xfId="10992" xr:uid="{02C0625E-4CF3-48BE-BB72-1CF3B2FEA1D5}"/>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522" xr:uid="{D1B65043-4D3B-4656-8F56-660645895EAD}"/>
    <cellStyle name="Currency 5 2 2 3 9 3" xfId="11309" xr:uid="{B3A245A1-18BD-4263-9C22-601DC42125A5}"/>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700" xr:uid="{D2AA2C73-E42F-48D6-915C-0B236693B059}"/>
    <cellStyle name="Currency 5 2 2 4 2 2 3" xfId="11487" xr:uid="{1FB5A65E-C6A3-489E-B112-247020E2E007}"/>
    <cellStyle name="Currency 5 2 2 4 2 3" xfId="5060" xr:uid="{00000000-0005-0000-0000-0000F70B0000}"/>
    <cellStyle name="Currency 5 2 2 4 2 3 2" xfId="13555" xr:uid="{82EE77C7-A4C7-4940-9F52-63F969B75CD3}"/>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113" xr:uid="{66AF701C-C2FA-4147-A83E-AA871EE1956E}"/>
    <cellStyle name="Currency 5 2 2 4 3 2 3" xfId="11900" xr:uid="{93BBAA8F-551F-4DBF-B875-C8C73342B0CC}"/>
    <cellStyle name="Currency 5 2 2 4 3 3" xfId="5473" xr:uid="{00000000-0005-0000-0000-0000FB0B0000}"/>
    <cellStyle name="Currency 5 2 2 4 3 3 2" xfId="13968" xr:uid="{8F82D041-3CF8-421B-A0E2-4AEA8ED966DE}"/>
    <cellStyle name="Currency 5 2 2 4 3 4" xfId="9755" xr:uid="{3AE428B5-07E8-44F2-B3E4-A2BDE20A5AF7}"/>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526" xr:uid="{B419E1E0-EA89-48C2-BC3D-765153AEDC6A}"/>
    <cellStyle name="Currency 5 2 2 4 4 2 3" xfId="12313" xr:uid="{C65C8519-FE5E-4385-BF59-CD687AB98B1F}"/>
    <cellStyle name="Currency 5 2 2 4 4 3" xfId="5886" xr:uid="{00000000-0005-0000-0000-0000FF0B0000}"/>
    <cellStyle name="Currency 5 2 2 4 4 3 2" xfId="14381" xr:uid="{386C5BBB-54C7-493C-B82A-926B5E0B6486}"/>
    <cellStyle name="Currency 5 2 2 4 4 4" xfId="10168" xr:uid="{5A13EBF1-ABE0-435F-9400-D107A7B9701A}"/>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939" xr:uid="{277C81E0-9CAC-468B-85A2-C18C26B7A270}"/>
    <cellStyle name="Currency 5 2 2 4 5 2 3" xfId="12726" xr:uid="{CF712D1B-20A9-4E56-BA27-57B45BF7F640}"/>
    <cellStyle name="Currency 5 2 2 4 5 3" xfId="6299" xr:uid="{00000000-0005-0000-0000-0000030C0000}"/>
    <cellStyle name="Currency 5 2 2 4 5 3 2" xfId="14794" xr:uid="{394F4225-2FE8-432A-B4E4-2ABAA05AA109}"/>
    <cellStyle name="Currency 5 2 2 4 5 4" xfId="10581" xr:uid="{FD20671F-A4B2-42BF-A673-CF75B89110DB}"/>
    <cellStyle name="Currency 5 2 2 4 6" xfId="2428" xr:uid="{00000000-0005-0000-0000-0000040C0000}"/>
    <cellStyle name="Currency 5 2 2 4 6 2" xfId="6712" xr:uid="{00000000-0005-0000-0000-0000050C0000}"/>
    <cellStyle name="Currency 5 2 2 4 6 2 2" xfId="15207" xr:uid="{09C70ED6-1044-410B-9C62-EDC5CBBC8283}"/>
    <cellStyle name="Currency 5 2 2 4 6 3" xfId="10994" xr:uid="{C91B48E8-9383-498D-82B1-D171281F6A87}"/>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524" xr:uid="{6007B78F-5958-40EA-9AD8-8E6EBB2F6BE5}"/>
    <cellStyle name="Currency 5 2 2 4 8 3" xfId="11311" xr:uid="{CAA9AA1A-F442-4382-A14A-C072D2694349}"/>
    <cellStyle name="Currency 5 2 2 4 9" xfId="4646" xr:uid="{00000000-0005-0000-0000-0000090C0000}"/>
    <cellStyle name="Currency 5 2 2 4 9 2" xfId="13142" xr:uid="{C74679C7-232E-46B2-8686-3F75C3CA936E}"/>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701" xr:uid="{8980887B-EBAB-47FC-8199-1DAB91F0DAE5}"/>
    <cellStyle name="Currency 5 2 2 5 2 2 3" xfId="11488" xr:uid="{7550705C-4E6C-467F-A262-63952C97B127}"/>
    <cellStyle name="Currency 5 2 2 5 2 3" xfId="5061" xr:uid="{00000000-0005-0000-0000-00000E0C0000}"/>
    <cellStyle name="Currency 5 2 2 5 2 3 2" xfId="13556" xr:uid="{EDADD4FB-4351-4B4A-ABA1-1DF3B66D8BA9}"/>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114" xr:uid="{D0CB44AD-A8A0-42D1-BD2D-63C7DE1AE44E}"/>
    <cellStyle name="Currency 5 2 2 5 3 2 3" xfId="11901" xr:uid="{E847C21E-56B1-4913-AE5E-AB4D9D1B2494}"/>
    <cellStyle name="Currency 5 2 2 5 3 3" xfId="5474" xr:uid="{00000000-0005-0000-0000-0000120C0000}"/>
    <cellStyle name="Currency 5 2 2 5 3 3 2" xfId="13969" xr:uid="{FC5A648D-A155-4275-AFC6-BE7841F05F2A}"/>
    <cellStyle name="Currency 5 2 2 5 3 4" xfId="9756" xr:uid="{73D9B682-60D0-41B4-ACE9-3D1801DB1609}"/>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527" xr:uid="{A0B9DBE8-5115-4384-A5BC-FA6CCBAF17F9}"/>
    <cellStyle name="Currency 5 2 2 5 4 2 3" xfId="12314" xr:uid="{F6898023-BA55-4606-9330-D24460987265}"/>
    <cellStyle name="Currency 5 2 2 5 4 3" xfId="5887" xr:uid="{00000000-0005-0000-0000-0000160C0000}"/>
    <cellStyle name="Currency 5 2 2 5 4 3 2" xfId="14382" xr:uid="{07697499-5513-49AE-87EE-1F4E0E185AFE}"/>
    <cellStyle name="Currency 5 2 2 5 4 4" xfId="10169" xr:uid="{ED5C3E6E-4333-4829-BF25-E46A0B607022}"/>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940" xr:uid="{0893930C-FCA8-4C7D-AB85-DCA521A5D386}"/>
    <cellStyle name="Currency 5 2 2 5 5 2 3" xfId="12727" xr:uid="{BBD3AFD5-2319-4A7E-9707-15622EEE360C}"/>
    <cellStyle name="Currency 5 2 2 5 5 3" xfId="6300" xr:uid="{00000000-0005-0000-0000-00001A0C0000}"/>
    <cellStyle name="Currency 5 2 2 5 5 3 2" xfId="14795" xr:uid="{1BE66425-FAA0-41B6-B94F-56946D757374}"/>
    <cellStyle name="Currency 5 2 2 5 5 4" xfId="10582" xr:uid="{9F34EA0A-74A7-4E35-823A-461F94198AC1}"/>
    <cellStyle name="Currency 5 2 2 5 6" xfId="2429" xr:uid="{00000000-0005-0000-0000-00001B0C0000}"/>
    <cellStyle name="Currency 5 2 2 5 6 2" xfId="6713" xr:uid="{00000000-0005-0000-0000-00001C0C0000}"/>
    <cellStyle name="Currency 5 2 2 5 6 2 2" xfId="15208" xr:uid="{F35FB0EE-CDF9-43FD-8025-F64135BD40A5}"/>
    <cellStyle name="Currency 5 2 2 5 6 3" xfId="10995" xr:uid="{59459F1B-FF76-47AF-9145-9BF00ED868C0}"/>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525" xr:uid="{02E5A539-315D-445B-8DA1-DD0898E69CC9}"/>
    <cellStyle name="Currency 5 2 2 5 8 3" xfId="11312" xr:uid="{603C59C7-48D7-4FA5-90F4-3F0CE26BB6ED}"/>
    <cellStyle name="Currency 5 2 2 5 9" xfId="4647" xr:uid="{00000000-0005-0000-0000-0000200C0000}"/>
    <cellStyle name="Currency 5 2 2 5 9 2" xfId="13143" xr:uid="{AB5E0261-7E74-4103-8BA9-7DE1769320BC}"/>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144" xr:uid="{CA02ED9B-C4AE-49DB-BAD3-03985274F5D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703" xr:uid="{A088486C-8D85-4CF8-88B3-706994D612B6}"/>
    <cellStyle name="Currency 5 2 4 2 2 2 3" xfId="11490" xr:uid="{34BF4CFD-546F-43B8-B98F-3D283894C9A6}"/>
    <cellStyle name="Currency 5 2 4 2 2 3" xfId="5063" xr:uid="{00000000-0005-0000-0000-0000290C0000}"/>
    <cellStyle name="Currency 5 2 4 2 2 3 2" xfId="13558" xr:uid="{D32F144B-63D7-4570-8318-A5002037DCAC}"/>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116" xr:uid="{F0F2BB14-00E9-467D-8678-08221B636678}"/>
    <cellStyle name="Currency 5 2 4 2 3 2 3" xfId="11903" xr:uid="{9291DF19-506B-4E7A-874B-772B727981CD}"/>
    <cellStyle name="Currency 5 2 4 2 3 3" xfId="5476" xr:uid="{00000000-0005-0000-0000-00002D0C0000}"/>
    <cellStyle name="Currency 5 2 4 2 3 3 2" xfId="13971" xr:uid="{50BA2AAC-14CD-4326-857E-D572D474CA70}"/>
    <cellStyle name="Currency 5 2 4 2 3 4" xfId="9758" xr:uid="{BC7307BA-0690-4D27-96CC-C91CC0C1EF06}"/>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529" xr:uid="{B010E0C4-733D-45F3-8AC1-76A52428E70C}"/>
    <cellStyle name="Currency 5 2 4 2 4 2 3" xfId="12316" xr:uid="{98F80274-60CF-4061-923F-BDE4DACFD845}"/>
    <cellStyle name="Currency 5 2 4 2 4 3" xfId="5889" xr:uid="{00000000-0005-0000-0000-0000310C0000}"/>
    <cellStyle name="Currency 5 2 4 2 4 3 2" xfId="14384" xr:uid="{05131122-B6BA-48EA-AB4F-99A08D4BB268}"/>
    <cellStyle name="Currency 5 2 4 2 4 4" xfId="10171" xr:uid="{8E298DAD-5B30-4E96-B236-DDF94CAD067D}"/>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942" xr:uid="{30237CF7-39A1-4CDF-A08F-283A2C5BCE9C}"/>
    <cellStyle name="Currency 5 2 4 2 5 2 3" xfId="12729" xr:uid="{D1B5D800-629A-40E0-B3DF-D35EEF5C6D81}"/>
    <cellStyle name="Currency 5 2 4 2 5 3" xfId="6302" xr:uid="{00000000-0005-0000-0000-0000350C0000}"/>
    <cellStyle name="Currency 5 2 4 2 5 3 2" xfId="14797" xr:uid="{E2CD35C1-BD1A-493B-8407-429C4E886186}"/>
    <cellStyle name="Currency 5 2 4 2 5 4" xfId="10584" xr:uid="{B921F0B5-71D7-4791-B44C-9AED5318CE98}"/>
    <cellStyle name="Currency 5 2 4 2 6" xfId="2431" xr:uid="{00000000-0005-0000-0000-0000360C0000}"/>
    <cellStyle name="Currency 5 2 4 2 6 2" xfId="6715" xr:uid="{00000000-0005-0000-0000-0000370C0000}"/>
    <cellStyle name="Currency 5 2 4 2 6 2 2" xfId="15210" xr:uid="{C14AD704-FF60-4A72-9900-5FFEDD3782DD}"/>
    <cellStyle name="Currency 5 2 4 2 6 3" xfId="10997" xr:uid="{65FF2BD1-B26E-4A6B-91FE-C8AF3039C86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527" xr:uid="{A36C1BB5-4BAD-4642-BCE6-8090BA5741C0}"/>
    <cellStyle name="Currency 5 2 4 2 8 3" xfId="11314" xr:uid="{DF3C5E21-C655-4B9B-8162-ABEF581CAAFD}"/>
    <cellStyle name="Currency 5 2 4 2 9" xfId="4649" xr:uid="{00000000-0005-0000-0000-00003B0C0000}"/>
    <cellStyle name="Currency 5 2 4 2 9 2" xfId="13145" xr:uid="{B0A72A91-B140-4267-A776-EF46745EC793}"/>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702" xr:uid="{3A8272EC-8D68-4FFE-B2A6-7EF250C00876}"/>
    <cellStyle name="Currency 5 2 4 3 2 3" xfId="11489" xr:uid="{08AB9B7E-F4BE-4573-B481-F94029585D1F}"/>
    <cellStyle name="Currency 5 2 4 3 3" xfId="5062" xr:uid="{00000000-0005-0000-0000-00003F0C0000}"/>
    <cellStyle name="Currency 5 2 4 3 3 2" xfId="13557" xr:uid="{A94D3203-8C5E-4501-9AC9-90F206EEE35A}"/>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115" xr:uid="{1F72118C-C1D5-40E6-9E04-C505B835BA78}"/>
    <cellStyle name="Currency 5 2 4 4 2 3" xfId="11902" xr:uid="{92BAFBF0-4542-425A-A83C-7922D5919266}"/>
    <cellStyle name="Currency 5 2 4 4 3" xfId="5475" xr:uid="{00000000-0005-0000-0000-0000430C0000}"/>
    <cellStyle name="Currency 5 2 4 4 3 2" xfId="13970" xr:uid="{0916B645-0A7C-468F-8BA6-4AD09084C35F}"/>
    <cellStyle name="Currency 5 2 4 4 4" xfId="9757" xr:uid="{A13552C4-EFFB-480C-8651-D5F811761551}"/>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528" xr:uid="{48AA217B-CD72-4640-8C47-261EE834A854}"/>
    <cellStyle name="Currency 5 2 4 5 2 3" xfId="12315" xr:uid="{C3DD70DF-0571-4953-A4E2-F775422AD07F}"/>
    <cellStyle name="Currency 5 2 4 5 3" xfId="5888" xr:uid="{00000000-0005-0000-0000-0000470C0000}"/>
    <cellStyle name="Currency 5 2 4 5 3 2" xfId="14383" xr:uid="{4AF941A0-3487-4E5C-83DB-797A9A52B9A7}"/>
    <cellStyle name="Currency 5 2 4 5 4" xfId="10170" xr:uid="{E7055594-BB4F-4448-9FF2-487E06CFD91A}"/>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941" xr:uid="{4A860399-FA97-4262-BC98-0E9AE64823F5}"/>
    <cellStyle name="Currency 5 2 4 6 2 3" xfId="12728" xr:uid="{E898EDEB-74DC-4511-A195-7BED627C94CE}"/>
    <cellStyle name="Currency 5 2 4 6 3" xfId="6301" xr:uid="{00000000-0005-0000-0000-00004B0C0000}"/>
    <cellStyle name="Currency 5 2 4 6 3 2" xfId="14796" xr:uid="{848231A6-2813-4BDB-A960-39304F603EE2}"/>
    <cellStyle name="Currency 5 2 4 6 4" xfId="10583" xr:uid="{CD0A5CC7-B04D-4C95-9807-052FBB4CC288}"/>
    <cellStyle name="Currency 5 2 4 7" xfId="2430" xr:uid="{00000000-0005-0000-0000-00004C0C0000}"/>
    <cellStyle name="Currency 5 2 4 7 2" xfId="6714" xr:uid="{00000000-0005-0000-0000-00004D0C0000}"/>
    <cellStyle name="Currency 5 2 4 7 2 2" xfId="15209" xr:uid="{57B44A71-B2B8-4B2C-9503-0EDCC9528060}"/>
    <cellStyle name="Currency 5 2 4 7 3" xfId="10996" xr:uid="{60F2117C-F045-4A68-B773-522BC69F3D6B}"/>
    <cellStyle name="Currency 5 2 4 8" xfId="2727" xr:uid="{00000000-0005-0000-0000-00004E0C0000}"/>
    <cellStyle name="Currency 5 2 4 9" xfId="2808" xr:uid="{00000000-0005-0000-0000-00004F0C0000}"/>
    <cellStyle name="Currency 5 2 4 9 2" xfId="7031" xr:uid="{00000000-0005-0000-0000-0000500C0000}"/>
    <cellStyle name="Currency 5 2 4 9 2 2" xfId="15526" xr:uid="{ED2CBC6B-EBAC-4B24-B5B8-73BCFA47841E}"/>
    <cellStyle name="Currency 5 2 4 9 3" xfId="11313" xr:uid="{496AB8EC-D61E-4FDD-8058-239A40EC503C}"/>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704" xr:uid="{866F2555-3763-41D5-A149-8054F0C67101}"/>
    <cellStyle name="Currency 5 2 5 2 2 3" xfId="11491" xr:uid="{85E42F34-A038-42F8-8F50-2171D4154C30}"/>
    <cellStyle name="Currency 5 2 5 2 3" xfId="5064" xr:uid="{00000000-0005-0000-0000-0000550C0000}"/>
    <cellStyle name="Currency 5 2 5 2 3 2" xfId="13559" xr:uid="{A9DC0375-45D6-44B9-85BD-A52A4FF2BA14}"/>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117" xr:uid="{01251DBE-AA71-45E5-AD71-B6FA639A2428}"/>
    <cellStyle name="Currency 5 2 5 3 2 3" xfId="11904" xr:uid="{C286A1A5-E386-4C9A-B10D-28DE038E460F}"/>
    <cellStyle name="Currency 5 2 5 3 3" xfId="5477" xr:uid="{00000000-0005-0000-0000-0000590C0000}"/>
    <cellStyle name="Currency 5 2 5 3 3 2" xfId="13972" xr:uid="{171B7352-2212-4A25-8510-32554AAD5B70}"/>
    <cellStyle name="Currency 5 2 5 3 4" xfId="9759" xr:uid="{A1ADB303-0867-4E06-9D07-4E02C500C42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530" xr:uid="{089ABA32-F95B-492B-825E-6DDE0623AAE8}"/>
    <cellStyle name="Currency 5 2 5 4 2 3" xfId="12317" xr:uid="{E19B2CB8-24BA-4424-BE12-D57A9D64960B}"/>
    <cellStyle name="Currency 5 2 5 4 3" xfId="5890" xr:uid="{00000000-0005-0000-0000-00005D0C0000}"/>
    <cellStyle name="Currency 5 2 5 4 3 2" xfId="14385" xr:uid="{5FF8E9CE-2332-49AE-9487-D79E25C416BE}"/>
    <cellStyle name="Currency 5 2 5 4 4" xfId="10172" xr:uid="{FBDBF430-418D-49D5-A578-0D0F5DD39277}"/>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943" xr:uid="{BEDA3B54-DF5C-4412-A972-4B5765C1EC24}"/>
    <cellStyle name="Currency 5 2 5 5 2 3" xfId="12730" xr:uid="{D4A1B47B-50E5-42FF-9BA1-0AC02FA166B4}"/>
    <cellStyle name="Currency 5 2 5 5 3" xfId="6303" xr:uid="{00000000-0005-0000-0000-0000610C0000}"/>
    <cellStyle name="Currency 5 2 5 5 3 2" xfId="14798" xr:uid="{87AB9B53-0910-4801-B795-ECBF28ABD6D2}"/>
    <cellStyle name="Currency 5 2 5 5 4" xfId="10585" xr:uid="{6C38CC7B-DAFB-44EB-BF31-867B2677EA5A}"/>
    <cellStyle name="Currency 5 2 5 6" xfId="2432" xr:uid="{00000000-0005-0000-0000-0000620C0000}"/>
    <cellStyle name="Currency 5 2 5 6 2" xfId="6716" xr:uid="{00000000-0005-0000-0000-0000630C0000}"/>
    <cellStyle name="Currency 5 2 5 6 2 2" xfId="15211" xr:uid="{254B13F7-27AC-4B90-A48F-CF064F3629EA}"/>
    <cellStyle name="Currency 5 2 5 6 3" xfId="10998" xr:uid="{44B77BA4-5C86-4329-B52B-475A0D8EC2E7}"/>
    <cellStyle name="Currency 5 2 5 7" xfId="2729" xr:uid="{00000000-0005-0000-0000-0000640C0000}"/>
    <cellStyle name="Currency 5 2 5 8" xfId="2810" xr:uid="{00000000-0005-0000-0000-0000650C0000}"/>
    <cellStyle name="Currency 5 2 5 8 2" xfId="7033" xr:uid="{00000000-0005-0000-0000-0000660C0000}"/>
    <cellStyle name="Currency 5 2 5 8 2 2" xfId="15528" xr:uid="{A23955BE-C396-4545-8D41-CDBCB6AF09CF}"/>
    <cellStyle name="Currency 5 2 5 8 3" xfId="11315" xr:uid="{C5767828-9B6D-45BD-AB6D-F00E2C42D506}"/>
    <cellStyle name="Currency 5 2 5 9" xfId="4650" xr:uid="{00000000-0005-0000-0000-0000670C0000}"/>
    <cellStyle name="Currency 5 2 5 9 2" xfId="13146" xr:uid="{CC9A08CE-6228-45BF-85E7-28565DC3CF4D}"/>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705" xr:uid="{B88A2DA2-DB18-4881-962C-69BC0DC7E891}"/>
    <cellStyle name="Currency 5 2 6 2 2 3" xfId="11492" xr:uid="{0372F6AD-D60C-4CF5-8DBA-D1073E2128F1}"/>
    <cellStyle name="Currency 5 2 6 2 3" xfId="5065" xr:uid="{00000000-0005-0000-0000-00006C0C0000}"/>
    <cellStyle name="Currency 5 2 6 2 3 2" xfId="13560" xr:uid="{2B05E10C-D467-4B94-9D44-3F7F4F9EC401}"/>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118" xr:uid="{5C2CCAF4-98B0-469C-ACBD-9ACC6117A54A}"/>
    <cellStyle name="Currency 5 2 6 3 2 3" xfId="11905" xr:uid="{F8BCE29D-D1C1-4129-B3E2-1F0AD4072FC8}"/>
    <cellStyle name="Currency 5 2 6 3 3" xfId="5478" xr:uid="{00000000-0005-0000-0000-0000700C0000}"/>
    <cellStyle name="Currency 5 2 6 3 3 2" xfId="13973" xr:uid="{6F60A5A1-82FE-4029-A053-F87811479191}"/>
    <cellStyle name="Currency 5 2 6 3 4" xfId="9760" xr:uid="{9E63CDF8-E307-45F3-83FC-A9024F5F48F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531" xr:uid="{93B1DA39-059E-47BB-BBB8-17F67688AEDC}"/>
    <cellStyle name="Currency 5 2 6 4 2 3" xfId="12318" xr:uid="{647E690E-F2CD-445B-AE0C-A7CA8D749936}"/>
    <cellStyle name="Currency 5 2 6 4 3" xfId="5891" xr:uid="{00000000-0005-0000-0000-0000740C0000}"/>
    <cellStyle name="Currency 5 2 6 4 3 2" xfId="14386" xr:uid="{A6DF4F0E-0ECD-46F5-AE03-AC961CAB7FF2}"/>
    <cellStyle name="Currency 5 2 6 4 4" xfId="10173" xr:uid="{EE2EEC16-C919-4B8F-A7E1-8AB485A0207F}"/>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944" xr:uid="{49B4F35C-6353-4750-8461-C9FB99010AAF}"/>
    <cellStyle name="Currency 5 2 6 5 2 3" xfId="12731" xr:uid="{86142DDF-7261-4B1F-80B5-FEB1B376F04A}"/>
    <cellStyle name="Currency 5 2 6 5 3" xfId="6304" xr:uid="{00000000-0005-0000-0000-0000780C0000}"/>
    <cellStyle name="Currency 5 2 6 5 3 2" xfId="14799" xr:uid="{2C019452-4B24-4EBC-90E9-1D6E1247C1ED}"/>
    <cellStyle name="Currency 5 2 6 5 4" xfId="10586" xr:uid="{0C4281FA-6388-4A83-B830-1609D4FEB450}"/>
    <cellStyle name="Currency 5 2 6 6" xfId="2433" xr:uid="{00000000-0005-0000-0000-0000790C0000}"/>
    <cellStyle name="Currency 5 2 6 6 2" xfId="6717" xr:uid="{00000000-0005-0000-0000-00007A0C0000}"/>
    <cellStyle name="Currency 5 2 6 6 2 2" xfId="15212" xr:uid="{5D5CCA6E-05CD-4A3B-9E81-3102CB8B67F6}"/>
    <cellStyle name="Currency 5 2 6 6 3" xfId="10999" xr:uid="{C654536D-9EB2-4D72-9DD2-DA183E8F0C03}"/>
    <cellStyle name="Currency 5 2 6 7" xfId="2730" xr:uid="{00000000-0005-0000-0000-00007B0C0000}"/>
    <cellStyle name="Currency 5 2 6 8" xfId="2811" xr:uid="{00000000-0005-0000-0000-00007C0C0000}"/>
    <cellStyle name="Currency 5 2 6 8 2" xfId="7034" xr:uid="{00000000-0005-0000-0000-00007D0C0000}"/>
    <cellStyle name="Currency 5 2 6 8 2 2" xfId="15529" xr:uid="{70125691-DBC1-4B31-A44B-0F473602F4A7}"/>
    <cellStyle name="Currency 5 2 6 8 3" xfId="11316" xr:uid="{31B0DB1D-C7B3-455A-BBD7-10FC19D8A09B}"/>
    <cellStyle name="Currency 5 2 6 9" xfId="4651" xr:uid="{00000000-0005-0000-0000-00007E0C0000}"/>
    <cellStyle name="Currency 5 2 6 9 2" xfId="13147" xr:uid="{4E7092BE-6693-48A4-B7E9-73624F6F1088}"/>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530" xr:uid="{9823D297-203D-41CF-9619-610CC6A8C244}"/>
    <cellStyle name="Currency 5 3 2 10 3" xfId="11317" xr:uid="{3E01FE46-04AF-4C53-9602-CA4834B5BD96}"/>
    <cellStyle name="Currency 5 3 2 11" xfId="4652" xr:uid="{00000000-0005-0000-0000-0000840C0000}"/>
    <cellStyle name="Currency 5 3 2 11 2" xfId="13148" xr:uid="{2E94AF59-9EB1-4D8D-929F-934C8C55FDA3}"/>
    <cellStyle name="Currency 5 3 2 12" xfId="8810" xr:uid="{C5234FF9-D509-4CD8-ADA1-D3604CCF3D1F}"/>
    <cellStyle name="Currency 5 3 2 2" xfId="211" xr:uid="{00000000-0005-0000-0000-0000850C0000}"/>
    <cellStyle name="Currency 5 3 2 2 10" xfId="4653" xr:uid="{00000000-0005-0000-0000-0000860C0000}"/>
    <cellStyle name="Currency 5 3 2 2 10 2" xfId="13149" xr:uid="{9F072ABB-427E-41F6-BB1B-BE686738F9F5}"/>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708" xr:uid="{FC3020F7-05D5-4C3C-B3B1-2399D48F3CC9}"/>
    <cellStyle name="Currency 5 3 2 2 2 2 2 3" xfId="11495" xr:uid="{FDD66836-89E4-4388-85EF-D445E3C8C72B}"/>
    <cellStyle name="Currency 5 3 2 2 2 2 3" xfId="5068" xr:uid="{00000000-0005-0000-0000-00008B0C0000}"/>
    <cellStyle name="Currency 5 3 2 2 2 2 3 2" xfId="13563" xr:uid="{1ABC49AA-6155-4424-9117-30A115E7A774}"/>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121" xr:uid="{14D2D605-319B-4F6F-98C3-E07E7DE5AE4A}"/>
    <cellStyle name="Currency 5 3 2 2 2 3 2 3" xfId="11908" xr:uid="{A3E27B89-5DB8-4050-9611-B43599FF21BF}"/>
    <cellStyle name="Currency 5 3 2 2 2 3 3" xfId="5481" xr:uid="{00000000-0005-0000-0000-00008F0C0000}"/>
    <cellStyle name="Currency 5 3 2 2 2 3 3 2" xfId="13976" xr:uid="{E2D2635B-B3A5-468E-87E5-EEC476E750CA}"/>
    <cellStyle name="Currency 5 3 2 2 2 3 4" xfId="9763" xr:uid="{905D09C2-9AA3-4321-970D-CEB43855A17F}"/>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534" xr:uid="{9BF50D8D-8AE9-4D1C-8690-F4876F6227EA}"/>
    <cellStyle name="Currency 5 3 2 2 2 4 2 3" xfId="12321" xr:uid="{840CAE6E-5877-49E0-96C2-15769A8E3A5F}"/>
    <cellStyle name="Currency 5 3 2 2 2 4 3" xfId="5894" xr:uid="{00000000-0005-0000-0000-0000930C0000}"/>
    <cellStyle name="Currency 5 3 2 2 2 4 3 2" xfId="14389" xr:uid="{E7B6F7A1-B93B-4562-BE84-951D3CAE3D36}"/>
    <cellStyle name="Currency 5 3 2 2 2 4 4" xfId="10176" xr:uid="{630E68B8-FDD7-4C66-AB98-9561275407BC}"/>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47" xr:uid="{6EB053F0-2121-4921-AF70-523DD2E2F099}"/>
    <cellStyle name="Currency 5 3 2 2 2 5 2 3" xfId="12734" xr:uid="{838E427B-0414-40DF-8110-8A706B5632AE}"/>
    <cellStyle name="Currency 5 3 2 2 2 5 3" xfId="6307" xr:uid="{00000000-0005-0000-0000-0000970C0000}"/>
    <cellStyle name="Currency 5 3 2 2 2 5 3 2" xfId="14802" xr:uid="{E06EF91A-8F30-41D2-8413-F094C5A124DC}"/>
    <cellStyle name="Currency 5 3 2 2 2 5 4" xfId="10589" xr:uid="{FD0427AA-FC95-4E0C-A6AD-06862DB713E4}"/>
    <cellStyle name="Currency 5 3 2 2 2 6" xfId="2436" xr:uid="{00000000-0005-0000-0000-0000980C0000}"/>
    <cellStyle name="Currency 5 3 2 2 2 6 2" xfId="6720" xr:uid="{00000000-0005-0000-0000-0000990C0000}"/>
    <cellStyle name="Currency 5 3 2 2 2 6 2 2" xfId="15215" xr:uid="{4619A3D0-B746-4285-8EDD-5204373A3FB7}"/>
    <cellStyle name="Currency 5 3 2 2 2 6 3" xfId="11002" xr:uid="{57F4C6C1-0AC3-4A75-B986-F9983D4828EE}"/>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532" xr:uid="{DE510C3F-A86D-44F7-8800-078658BEF50F}"/>
    <cellStyle name="Currency 5 3 2 2 2 8 3" xfId="11319" xr:uid="{A99A5D78-2CA8-48E8-A241-66AE4B6FC2A7}"/>
    <cellStyle name="Currency 5 3 2 2 2 9" xfId="4654" xr:uid="{00000000-0005-0000-0000-00009D0C0000}"/>
    <cellStyle name="Currency 5 3 2 2 2 9 2" xfId="13150" xr:uid="{E97F0276-6F1C-4BE3-830E-BB1B487E42CB}"/>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707" xr:uid="{8506F43C-BF38-4216-AB05-75E7333C050E}"/>
    <cellStyle name="Currency 5 3 2 2 3 2 3" xfId="11494" xr:uid="{91829D15-DCC0-4B8F-8646-F068FCA28990}"/>
    <cellStyle name="Currency 5 3 2 2 3 3" xfId="5067" xr:uid="{00000000-0005-0000-0000-0000A10C0000}"/>
    <cellStyle name="Currency 5 3 2 2 3 3 2" xfId="13562" xr:uid="{F65719CC-6EAD-4F11-B553-CEE06C1B9AEB}"/>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120" xr:uid="{BCB8559E-AE6D-41D1-B2E8-3B46A2EF9063}"/>
    <cellStyle name="Currency 5 3 2 2 4 2 3" xfId="11907" xr:uid="{391C9026-5C39-4CE1-841F-79F8AD01FA87}"/>
    <cellStyle name="Currency 5 3 2 2 4 3" xfId="5480" xr:uid="{00000000-0005-0000-0000-0000A50C0000}"/>
    <cellStyle name="Currency 5 3 2 2 4 3 2" xfId="13975" xr:uid="{05AAC33C-251D-463F-BFB9-9EACD9F50879}"/>
    <cellStyle name="Currency 5 3 2 2 4 4" xfId="9762" xr:uid="{D0E2E405-67D1-455A-A96E-8B1C3671123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533" xr:uid="{733EE026-819C-4569-8A1D-911324CAA0BB}"/>
    <cellStyle name="Currency 5 3 2 2 5 2 3" xfId="12320" xr:uid="{BF044ABA-85DC-4FC4-A7AB-EE833E61BF5B}"/>
    <cellStyle name="Currency 5 3 2 2 5 3" xfId="5893" xr:uid="{00000000-0005-0000-0000-0000A90C0000}"/>
    <cellStyle name="Currency 5 3 2 2 5 3 2" xfId="14388" xr:uid="{581455DD-AFC1-4FB3-A7B9-BCCA296A1B8C}"/>
    <cellStyle name="Currency 5 3 2 2 5 4" xfId="10175" xr:uid="{779894F9-D446-4BA1-8A1B-E410D39AEB11}"/>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46" xr:uid="{EA5915E8-E760-46FF-A987-5422DAB86267}"/>
    <cellStyle name="Currency 5 3 2 2 6 2 3" xfId="12733" xr:uid="{1F9C157C-3047-4758-8656-44D83B302C82}"/>
    <cellStyle name="Currency 5 3 2 2 6 3" xfId="6306" xr:uid="{00000000-0005-0000-0000-0000AD0C0000}"/>
    <cellStyle name="Currency 5 3 2 2 6 3 2" xfId="14801" xr:uid="{3E6A5A55-2A4E-48B0-817B-05F918DB35E0}"/>
    <cellStyle name="Currency 5 3 2 2 6 4" xfId="10588" xr:uid="{2B9FCFE1-8549-46A8-B324-B2552E3981B4}"/>
    <cellStyle name="Currency 5 3 2 2 7" xfId="2435" xr:uid="{00000000-0005-0000-0000-0000AE0C0000}"/>
    <cellStyle name="Currency 5 3 2 2 7 2" xfId="6719" xr:uid="{00000000-0005-0000-0000-0000AF0C0000}"/>
    <cellStyle name="Currency 5 3 2 2 7 2 2" xfId="15214" xr:uid="{983AC711-34B7-4B83-8AEB-A191A158B7CB}"/>
    <cellStyle name="Currency 5 3 2 2 7 3" xfId="11001" xr:uid="{ECEAF08D-1C35-45D9-AA63-805C856223FF}"/>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531" xr:uid="{43739778-9B6F-4E78-B41D-2A565DB58C8F}"/>
    <cellStyle name="Currency 5 3 2 2 9 3" xfId="11318" xr:uid="{FDC4931E-76F9-4C2E-8F3B-3E33ED4AA76A}"/>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709" xr:uid="{EF8633CD-8F09-4ACD-B936-5D8B96D2264F}"/>
    <cellStyle name="Currency 5 3 2 3 2 2 3" xfId="11496" xr:uid="{2A7320A9-1123-4222-AFF2-297D4A35ED3A}"/>
    <cellStyle name="Currency 5 3 2 3 2 3" xfId="5069" xr:uid="{00000000-0005-0000-0000-0000B70C0000}"/>
    <cellStyle name="Currency 5 3 2 3 2 3 2" xfId="13564" xr:uid="{6CC13B49-0249-4D23-9D48-2A55C534660F}"/>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122" xr:uid="{2F228174-01DB-4C5E-AE8D-C640774125FD}"/>
    <cellStyle name="Currency 5 3 2 3 3 2 3" xfId="11909" xr:uid="{389E680C-235D-4BAA-BC5D-23A4FF6E6E89}"/>
    <cellStyle name="Currency 5 3 2 3 3 3" xfId="5482" xr:uid="{00000000-0005-0000-0000-0000BB0C0000}"/>
    <cellStyle name="Currency 5 3 2 3 3 3 2" xfId="13977" xr:uid="{AA40B191-B108-4D4F-8F3F-29B3BF57688A}"/>
    <cellStyle name="Currency 5 3 2 3 3 4" xfId="9764" xr:uid="{FEFEEC65-08FC-495E-9049-AE9E41D2E786}"/>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535" xr:uid="{92C08B1E-212A-4395-9EB5-8DC9394B5B57}"/>
    <cellStyle name="Currency 5 3 2 3 4 2 3" xfId="12322" xr:uid="{019B65A2-55CF-4310-804E-09285EC51B52}"/>
    <cellStyle name="Currency 5 3 2 3 4 3" xfId="5895" xr:uid="{00000000-0005-0000-0000-0000BF0C0000}"/>
    <cellStyle name="Currency 5 3 2 3 4 3 2" xfId="14390" xr:uid="{ECC68879-65BB-4FB6-9579-3ADD686DFE12}"/>
    <cellStyle name="Currency 5 3 2 3 4 4" xfId="10177" xr:uid="{5A64CE78-9078-4BE3-8015-F83D69AB9CAD}"/>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48" xr:uid="{BBED2B07-2346-4A0C-8304-7CCC85590BD5}"/>
    <cellStyle name="Currency 5 3 2 3 5 2 3" xfId="12735" xr:uid="{9AA80345-4CE8-4A75-8E81-8518F50A4807}"/>
    <cellStyle name="Currency 5 3 2 3 5 3" xfId="6308" xr:uid="{00000000-0005-0000-0000-0000C30C0000}"/>
    <cellStyle name="Currency 5 3 2 3 5 3 2" xfId="14803" xr:uid="{B0500EC1-E345-4792-8A50-1EBED39AE6BD}"/>
    <cellStyle name="Currency 5 3 2 3 5 4" xfId="10590" xr:uid="{33E62BBA-0F38-4031-8531-A9C7C602A56E}"/>
    <cellStyle name="Currency 5 3 2 3 6" xfId="2437" xr:uid="{00000000-0005-0000-0000-0000C40C0000}"/>
    <cellStyle name="Currency 5 3 2 3 6 2" xfId="6721" xr:uid="{00000000-0005-0000-0000-0000C50C0000}"/>
    <cellStyle name="Currency 5 3 2 3 6 2 2" xfId="15216" xr:uid="{E871CFE7-679F-43DD-9E29-1642602814A4}"/>
    <cellStyle name="Currency 5 3 2 3 6 3" xfId="11003" xr:uid="{D44503E9-EA7D-41CF-84C2-3760384A9646}"/>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533" xr:uid="{6D44C8F4-8DE2-4398-B264-10A11AC43B95}"/>
    <cellStyle name="Currency 5 3 2 3 8 3" xfId="11320" xr:uid="{AC21012D-685C-4950-B3AD-24E2AF8962D1}"/>
    <cellStyle name="Currency 5 3 2 3 9" xfId="4655" xr:uid="{00000000-0005-0000-0000-0000C90C0000}"/>
    <cellStyle name="Currency 5 3 2 3 9 2" xfId="13151" xr:uid="{D5D54ACE-5743-4180-B3AE-1F2760609660}"/>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706" xr:uid="{FB44F8BC-C0F2-4965-A4C5-9BB9B2E5B07C}"/>
    <cellStyle name="Currency 5 3 2 4 2 3" xfId="11493" xr:uid="{456BBDB1-016B-457B-9285-7F9373CC9068}"/>
    <cellStyle name="Currency 5 3 2 4 3" xfId="5066" xr:uid="{00000000-0005-0000-0000-0000CD0C0000}"/>
    <cellStyle name="Currency 5 3 2 4 3 2" xfId="13561" xr:uid="{A665DCA4-B163-45C5-AB02-1AB6807E152D}"/>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119" xr:uid="{CC937350-3D7A-4C41-A624-79CADFFF8541}"/>
    <cellStyle name="Currency 5 3 2 5 2 3" xfId="11906" xr:uid="{3798CDFD-CF36-4D3A-B405-27A12C8C80E7}"/>
    <cellStyle name="Currency 5 3 2 5 3" xfId="5479" xr:uid="{00000000-0005-0000-0000-0000D10C0000}"/>
    <cellStyle name="Currency 5 3 2 5 3 2" xfId="13974" xr:uid="{086E9D79-AD6E-40ED-9231-AAF5D8DA488A}"/>
    <cellStyle name="Currency 5 3 2 5 4" xfId="9761" xr:uid="{61A8014E-08F0-4F4C-8BFB-C72CE49CF4BF}"/>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532" xr:uid="{A4539DED-F0BB-4C65-A5BA-B11448103964}"/>
    <cellStyle name="Currency 5 3 2 6 2 3" xfId="12319" xr:uid="{565B23E9-93C2-4783-A628-705EA452DA13}"/>
    <cellStyle name="Currency 5 3 2 6 3" xfId="5892" xr:uid="{00000000-0005-0000-0000-0000D50C0000}"/>
    <cellStyle name="Currency 5 3 2 6 3 2" xfId="14387" xr:uid="{D5BD9D85-097A-44B7-85DD-AD0F8467045E}"/>
    <cellStyle name="Currency 5 3 2 6 4" xfId="10174" xr:uid="{277166C0-8094-44EB-8853-4B80BEDFA8A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45" xr:uid="{5C55D5E4-F956-466E-98C4-42B12DD25CB8}"/>
    <cellStyle name="Currency 5 3 2 7 2 3" xfId="12732" xr:uid="{2AE09F9A-58A5-4916-8DB7-3FA10DF87681}"/>
    <cellStyle name="Currency 5 3 2 7 3" xfId="6305" xr:uid="{00000000-0005-0000-0000-0000D90C0000}"/>
    <cellStyle name="Currency 5 3 2 7 3 2" xfId="14800" xr:uid="{5AF393F5-CA90-42E0-83C4-DB40C3F00854}"/>
    <cellStyle name="Currency 5 3 2 7 4" xfId="10587" xr:uid="{A006F62B-8C46-464A-9BEE-37E5F62ACBBE}"/>
    <cellStyle name="Currency 5 3 2 8" xfId="2434" xr:uid="{00000000-0005-0000-0000-0000DA0C0000}"/>
    <cellStyle name="Currency 5 3 2 8 2" xfId="6718" xr:uid="{00000000-0005-0000-0000-0000DB0C0000}"/>
    <cellStyle name="Currency 5 3 2 8 2 2" xfId="15213" xr:uid="{D4B9C74F-E320-403D-82A9-652D2D4D6CAF}"/>
    <cellStyle name="Currency 5 3 2 8 3" xfId="11000" xr:uid="{F3D95F72-9488-4256-8851-4846AFF9ECC1}"/>
    <cellStyle name="Currency 5 3 2 9" xfId="2731" xr:uid="{00000000-0005-0000-0000-0000DC0C0000}"/>
    <cellStyle name="Currency 5 3 3" xfId="214" xr:uid="{00000000-0005-0000-0000-0000DD0C0000}"/>
    <cellStyle name="Currency 5 3 3 10" xfId="4656" xr:uid="{00000000-0005-0000-0000-0000DE0C0000}"/>
    <cellStyle name="Currency 5 3 3 10 2" xfId="13152" xr:uid="{00D179E0-75FD-4EE4-B7B5-69ADD7BF1789}"/>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711" xr:uid="{1C37AC53-7E70-4D3C-9902-044D2A8E2EB5}"/>
    <cellStyle name="Currency 5 3 3 2 2 2 3" xfId="11498" xr:uid="{4B15E78A-C3E5-4485-9614-DFE9A53F6210}"/>
    <cellStyle name="Currency 5 3 3 2 2 3" xfId="5071" xr:uid="{00000000-0005-0000-0000-0000E30C0000}"/>
    <cellStyle name="Currency 5 3 3 2 2 3 2" xfId="13566" xr:uid="{F9B04C97-F3AB-48A3-879E-6BBFE2E19CCA}"/>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124" xr:uid="{F6B4A65F-CBEF-493D-86D5-824F59AA7DA2}"/>
    <cellStyle name="Currency 5 3 3 2 3 2 3" xfId="11911" xr:uid="{810EB8E1-3392-4DDB-AB97-B44EB201A3A7}"/>
    <cellStyle name="Currency 5 3 3 2 3 3" xfId="5484" xr:uid="{00000000-0005-0000-0000-0000E70C0000}"/>
    <cellStyle name="Currency 5 3 3 2 3 3 2" xfId="13979" xr:uid="{12F3B5E5-23AC-4486-9667-87ECF0561BC9}"/>
    <cellStyle name="Currency 5 3 3 2 3 4" xfId="9766" xr:uid="{2F9C7B13-7C16-436F-A5B3-47570AFAA3F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537" xr:uid="{68BAB3E3-EAF0-4D0E-B1F3-9C61FE939DFC}"/>
    <cellStyle name="Currency 5 3 3 2 4 2 3" xfId="12324" xr:uid="{C1A8017F-B67D-44A7-932A-C51D0A22F132}"/>
    <cellStyle name="Currency 5 3 3 2 4 3" xfId="5897" xr:uid="{00000000-0005-0000-0000-0000EB0C0000}"/>
    <cellStyle name="Currency 5 3 3 2 4 3 2" xfId="14392" xr:uid="{A5904674-EC5B-4CE1-822A-AC34D5701522}"/>
    <cellStyle name="Currency 5 3 3 2 4 4" xfId="10179" xr:uid="{D46AD3A9-02DD-45AA-B9C9-996C2676810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50" xr:uid="{15BE2D44-3A97-4E85-A245-76930FB3CFCF}"/>
    <cellStyle name="Currency 5 3 3 2 5 2 3" xfId="12737" xr:uid="{B251A0C2-FB33-4898-A759-BC3703AF6390}"/>
    <cellStyle name="Currency 5 3 3 2 5 3" xfId="6310" xr:uid="{00000000-0005-0000-0000-0000EF0C0000}"/>
    <cellStyle name="Currency 5 3 3 2 5 3 2" xfId="14805" xr:uid="{B743C80C-6B5A-408E-B372-0D1D994B67DB}"/>
    <cellStyle name="Currency 5 3 3 2 5 4" xfId="10592" xr:uid="{2E8BFBA9-CFC4-491D-A86B-D67A2D8B1CB7}"/>
    <cellStyle name="Currency 5 3 3 2 6" xfId="2439" xr:uid="{00000000-0005-0000-0000-0000F00C0000}"/>
    <cellStyle name="Currency 5 3 3 2 6 2" xfId="6723" xr:uid="{00000000-0005-0000-0000-0000F10C0000}"/>
    <cellStyle name="Currency 5 3 3 2 6 2 2" xfId="15218" xr:uid="{674D0137-B1AB-4253-93E2-F1995FEABD90}"/>
    <cellStyle name="Currency 5 3 3 2 6 3" xfId="11005" xr:uid="{C12B9F0F-9C51-44DB-972F-019DA72B1597}"/>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535" xr:uid="{3F8F83F8-5F36-4AB5-9DB5-AE1197068448}"/>
    <cellStyle name="Currency 5 3 3 2 8 3" xfId="11322" xr:uid="{91E44A31-B8CC-45FE-BBD4-C77773EC7722}"/>
    <cellStyle name="Currency 5 3 3 2 9" xfId="4657" xr:uid="{00000000-0005-0000-0000-0000F50C0000}"/>
    <cellStyle name="Currency 5 3 3 2 9 2" xfId="13153" xr:uid="{8A1AF606-6813-47C2-94D6-622FB1D08D42}"/>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710" xr:uid="{BD12989B-5271-400C-BF7C-2C27F9F072AE}"/>
    <cellStyle name="Currency 5 3 3 3 2 3" xfId="11497" xr:uid="{469EB349-4B6D-4258-A64D-26B905E32E5F}"/>
    <cellStyle name="Currency 5 3 3 3 3" xfId="5070" xr:uid="{00000000-0005-0000-0000-0000F90C0000}"/>
    <cellStyle name="Currency 5 3 3 3 3 2" xfId="13565" xr:uid="{5F07A3DC-3774-480D-87F8-93CEFB28115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123" xr:uid="{01382EFC-57D9-4005-A85D-52CF8073724F}"/>
    <cellStyle name="Currency 5 3 3 4 2 3" xfId="11910" xr:uid="{C4B6F1EB-EA81-4979-8DCA-4AEA231D4689}"/>
    <cellStyle name="Currency 5 3 3 4 3" xfId="5483" xr:uid="{00000000-0005-0000-0000-0000FD0C0000}"/>
    <cellStyle name="Currency 5 3 3 4 3 2" xfId="13978" xr:uid="{9B25100C-B032-428A-8DAA-7A9C684A8249}"/>
    <cellStyle name="Currency 5 3 3 4 4" xfId="9765" xr:uid="{D05B5BE5-76B6-413F-9EA3-5CB9559FAD1F}"/>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536" xr:uid="{4CE7B41C-3503-43C0-ACC3-57B9261A8B29}"/>
    <cellStyle name="Currency 5 3 3 5 2 3" xfId="12323" xr:uid="{9B1D0C61-5EB8-496E-A67F-967F0534181B}"/>
    <cellStyle name="Currency 5 3 3 5 3" xfId="5896" xr:uid="{00000000-0005-0000-0000-0000010D0000}"/>
    <cellStyle name="Currency 5 3 3 5 3 2" xfId="14391" xr:uid="{E4BC1BF0-4002-4DF2-B741-88E9908DC571}"/>
    <cellStyle name="Currency 5 3 3 5 4" xfId="10178" xr:uid="{F3A7A373-92B1-40A3-8DA2-A010425F92E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49" xr:uid="{7E739C13-7EA4-4019-A834-E5824E927C94}"/>
    <cellStyle name="Currency 5 3 3 6 2 3" xfId="12736" xr:uid="{C5788713-BBBE-4ED4-A216-D33D996FE42E}"/>
    <cellStyle name="Currency 5 3 3 6 3" xfId="6309" xr:uid="{00000000-0005-0000-0000-0000050D0000}"/>
    <cellStyle name="Currency 5 3 3 6 3 2" xfId="14804" xr:uid="{C0A8EECC-838F-47B3-B411-2301CC4A5138}"/>
    <cellStyle name="Currency 5 3 3 6 4" xfId="10591" xr:uid="{EA9F5776-EE44-45E4-8F4C-2F464EDDE042}"/>
    <cellStyle name="Currency 5 3 3 7" xfId="2438" xr:uid="{00000000-0005-0000-0000-0000060D0000}"/>
    <cellStyle name="Currency 5 3 3 7 2" xfId="6722" xr:uid="{00000000-0005-0000-0000-0000070D0000}"/>
    <cellStyle name="Currency 5 3 3 7 2 2" xfId="15217" xr:uid="{D782C0AB-4ED4-421B-81B2-702A3A225929}"/>
    <cellStyle name="Currency 5 3 3 7 3" xfId="11004" xr:uid="{90D56D63-DE7F-49AF-8BF6-DCC901CBF68F}"/>
    <cellStyle name="Currency 5 3 3 8" xfId="2735" xr:uid="{00000000-0005-0000-0000-0000080D0000}"/>
    <cellStyle name="Currency 5 3 3 9" xfId="2816" xr:uid="{00000000-0005-0000-0000-0000090D0000}"/>
    <cellStyle name="Currency 5 3 3 9 2" xfId="7039" xr:uid="{00000000-0005-0000-0000-00000A0D0000}"/>
    <cellStyle name="Currency 5 3 3 9 2 2" xfId="15534" xr:uid="{E30DFC41-9BC4-40E5-B3BD-639362D2C7E3}"/>
    <cellStyle name="Currency 5 3 3 9 3" xfId="11321" xr:uid="{716F6DA5-249F-45A1-B2E8-A738C4FA835B}"/>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712" xr:uid="{76457587-4EF8-4F13-81F3-DF93FCC539FF}"/>
    <cellStyle name="Currency 5 3 4 2 2 3" xfId="11499" xr:uid="{1A530A9D-82A4-4581-994A-32096F5699A7}"/>
    <cellStyle name="Currency 5 3 4 2 3" xfId="5072" xr:uid="{00000000-0005-0000-0000-00000F0D0000}"/>
    <cellStyle name="Currency 5 3 4 2 3 2" xfId="13567" xr:uid="{4051DF52-B2DA-4D24-B02D-0B7F0D20DCBD}"/>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125" xr:uid="{11589ED4-80D0-4A75-AE59-B9E648C1754B}"/>
    <cellStyle name="Currency 5 3 4 3 2 3" xfId="11912" xr:uid="{B354937A-AE8B-482C-BC20-8ACD7758AB91}"/>
    <cellStyle name="Currency 5 3 4 3 3" xfId="5485" xr:uid="{00000000-0005-0000-0000-0000130D0000}"/>
    <cellStyle name="Currency 5 3 4 3 3 2" xfId="13980" xr:uid="{DEFD51DB-618A-4250-A94C-F53C86CFDA7B}"/>
    <cellStyle name="Currency 5 3 4 3 4" xfId="9767" xr:uid="{17AAB971-5507-49FE-9289-D938B290DE25}"/>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538" xr:uid="{362484F8-821D-47A3-A36A-E47F52EC1090}"/>
    <cellStyle name="Currency 5 3 4 4 2 3" xfId="12325" xr:uid="{1E9DB6E7-6BF7-4AC2-832E-1AAAA2BC034C}"/>
    <cellStyle name="Currency 5 3 4 4 3" xfId="5898" xr:uid="{00000000-0005-0000-0000-0000170D0000}"/>
    <cellStyle name="Currency 5 3 4 4 3 2" xfId="14393" xr:uid="{5888DCE7-7279-412F-8127-CA3325649607}"/>
    <cellStyle name="Currency 5 3 4 4 4" xfId="10180" xr:uid="{BC13C667-421D-4136-B710-A0AB0615AEDB}"/>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51" xr:uid="{64945796-BB40-4FF1-8E2D-91482EF59C20}"/>
    <cellStyle name="Currency 5 3 4 5 2 3" xfId="12738" xr:uid="{672D3E2A-F75A-4ADE-BF8E-9852AFAD22A9}"/>
    <cellStyle name="Currency 5 3 4 5 3" xfId="6311" xr:uid="{00000000-0005-0000-0000-00001B0D0000}"/>
    <cellStyle name="Currency 5 3 4 5 3 2" xfId="14806" xr:uid="{699C6187-2A6E-4E0E-8390-A21E3D248647}"/>
    <cellStyle name="Currency 5 3 4 5 4" xfId="10593" xr:uid="{AF59808A-4D1E-4DBB-B462-5D83FACCF28F}"/>
    <cellStyle name="Currency 5 3 4 6" xfId="2440" xr:uid="{00000000-0005-0000-0000-00001C0D0000}"/>
    <cellStyle name="Currency 5 3 4 6 2" xfId="6724" xr:uid="{00000000-0005-0000-0000-00001D0D0000}"/>
    <cellStyle name="Currency 5 3 4 6 2 2" xfId="15219" xr:uid="{9D20111D-60BF-479C-BBC1-DA3954892FDB}"/>
    <cellStyle name="Currency 5 3 4 6 3" xfId="11006" xr:uid="{54D17027-2296-452E-8165-1AE5DAA5D850}"/>
    <cellStyle name="Currency 5 3 4 7" xfId="2737" xr:uid="{00000000-0005-0000-0000-00001E0D0000}"/>
    <cellStyle name="Currency 5 3 4 8" xfId="2818" xr:uid="{00000000-0005-0000-0000-00001F0D0000}"/>
    <cellStyle name="Currency 5 3 4 8 2" xfId="7041" xr:uid="{00000000-0005-0000-0000-0000200D0000}"/>
    <cellStyle name="Currency 5 3 4 8 2 2" xfId="15536" xr:uid="{2A9CF556-E1F9-418C-AC1D-1ABDB6000502}"/>
    <cellStyle name="Currency 5 3 4 8 3" xfId="11323" xr:uid="{223C2566-E275-4F32-9903-7DE0B461277F}"/>
    <cellStyle name="Currency 5 3 4 9" xfId="4658" xr:uid="{00000000-0005-0000-0000-0000210D0000}"/>
    <cellStyle name="Currency 5 3 4 9 2" xfId="13154" xr:uid="{BE62E1EA-E22C-4151-B0DC-1846545F2819}"/>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713" xr:uid="{EB9530EE-E7DD-4E54-9625-E7644173469D}"/>
    <cellStyle name="Currency 5 3 5 2 2 3" xfId="11500" xr:uid="{DDBF2C7E-4C9A-4887-B07A-DE6CD898CA0C}"/>
    <cellStyle name="Currency 5 3 5 2 3" xfId="5073" xr:uid="{00000000-0005-0000-0000-0000260D0000}"/>
    <cellStyle name="Currency 5 3 5 2 3 2" xfId="13568" xr:uid="{406D0936-DF6F-4B57-B9B2-4AE2DE745272}"/>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126" xr:uid="{6DEDE061-B8A7-4C98-8C87-F0541696B737}"/>
    <cellStyle name="Currency 5 3 5 3 2 3" xfId="11913" xr:uid="{740F9E85-27CB-4A65-8161-5CE9D24AD265}"/>
    <cellStyle name="Currency 5 3 5 3 3" xfId="5486" xr:uid="{00000000-0005-0000-0000-00002A0D0000}"/>
    <cellStyle name="Currency 5 3 5 3 3 2" xfId="13981" xr:uid="{8D3F2A48-FC1D-4CCA-A746-B67D6F44C364}"/>
    <cellStyle name="Currency 5 3 5 3 4" xfId="9768" xr:uid="{70B9E2A6-DE7C-4941-8B7D-11514F834640}"/>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539" xr:uid="{DE0B666A-AE30-43BD-9A12-69DB2A438E13}"/>
    <cellStyle name="Currency 5 3 5 4 2 3" xfId="12326" xr:uid="{FC0EFD5F-737E-4E8F-892B-0821D5E2C2AE}"/>
    <cellStyle name="Currency 5 3 5 4 3" xfId="5899" xr:uid="{00000000-0005-0000-0000-00002E0D0000}"/>
    <cellStyle name="Currency 5 3 5 4 3 2" xfId="14394" xr:uid="{D8E96F36-D1A9-4E2C-B3CB-00B893C3A813}"/>
    <cellStyle name="Currency 5 3 5 4 4" xfId="10181" xr:uid="{99F9D154-044F-4C94-996C-445089E425F8}"/>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52" xr:uid="{85BB2869-6956-4B5F-BB6A-80A7E0F6706F}"/>
    <cellStyle name="Currency 5 3 5 5 2 3" xfId="12739" xr:uid="{FAE51423-B978-4CC2-A917-EB31684D210E}"/>
    <cellStyle name="Currency 5 3 5 5 3" xfId="6312" xr:uid="{00000000-0005-0000-0000-0000320D0000}"/>
    <cellStyle name="Currency 5 3 5 5 3 2" xfId="14807" xr:uid="{23B1DEFD-14E7-4116-B9FE-05BCEE82410D}"/>
    <cellStyle name="Currency 5 3 5 5 4" xfId="10594" xr:uid="{387D1DCA-2771-4565-99AC-1B0533E3A749}"/>
    <cellStyle name="Currency 5 3 5 6" xfId="2441" xr:uid="{00000000-0005-0000-0000-0000330D0000}"/>
    <cellStyle name="Currency 5 3 5 6 2" xfId="6725" xr:uid="{00000000-0005-0000-0000-0000340D0000}"/>
    <cellStyle name="Currency 5 3 5 6 2 2" xfId="15220" xr:uid="{5F8ADD72-9B52-4CA1-A209-FCAE527DB1F4}"/>
    <cellStyle name="Currency 5 3 5 6 3" xfId="11007" xr:uid="{895F886F-0A5C-472D-9796-7ADE646A83EC}"/>
    <cellStyle name="Currency 5 3 5 7" xfId="2738" xr:uid="{00000000-0005-0000-0000-0000350D0000}"/>
    <cellStyle name="Currency 5 3 5 8" xfId="2819" xr:uid="{00000000-0005-0000-0000-0000360D0000}"/>
    <cellStyle name="Currency 5 3 5 8 2" xfId="7042" xr:uid="{00000000-0005-0000-0000-0000370D0000}"/>
    <cellStyle name="Currency 5 3 5 8 2 2" xfId="15537" xr:uid="{1F7B691B-5C75-490C-8B62-27A86844121E}"/>
    <cellStyle name="Currency 5 3 5 8 3" xfId="11324" xr:uid="{CD998CD7-08C5-4E56-981F-A97C19DE87AC}"/>
    <cellStyle name="Currency 5 3 5 9" xfId="4659" xr:uid="{00000000-0005-0000-0000-0000380D0000}"/>
    <cellStyle name="Currency 5 3 5 9 2" xfId="13155" xr:uid="{3B615E24-8E2E-4B1C-A040-B1C94E15E5AB}"/>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56" xr:uid="{9F32B061-CB32-4526-A608-84A2EA9BA239}"/>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715" xr:uid="{542B29FF-5182-4276-932D-2EDA381C0A6F}"/>
    <cellStyle name="Currency 5 5 2 2 2 3" xfId="11502" xr:uid="{61144BD3-3CA0-43E1-83F2-697C0ECF40B7}"/>
    <cellStyle name="Currency 5 5 2 2 3" xfId="5075" xr:uid="{00000000-0005-0000-0000-0000410D0000}"/>
    <cellStyle name="Currency 5 5 2 2 3 2" xfId="13570" xr:uid="{0D3D36CF-CB21-4AFD-8CC6-66D9C3A58997}"/>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128" xr:uid="{841D8E6F-4C10-46EE-A304-575C1C20C3C5}"/>
    <cellStyle name="Currency 5 5 2 3 2 3" xfId="11915" xr:uid="{7AC50F0C-0641-4CB5-AB98-7DCC733F228C}"/>
    <cellStyle name="Currency 5 5 2 3 3" xfId="5488" xr:uid="{00000000-0005-0000-0000-0000450D0000}"/>
    <cellStyle name="Currency 5 5 2 3 3 2" xfId="13983" xr:uid="{800E1F9F-0F0A-4479-9BAE-DD9E3D2EA1FE}"/>
    <cellStyle name="Currency 5 5 2 3 4" xfId="9770" xr:uid="{14F04810-32E4-4759-AF40-BA9C982F0C7C}"/>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541" xr:uid="{809CB2D4-7C51-44DE-9023-AF7236083B48}"/>
    <cellStyle name="Currency 5 5 2 4 2 3" xfId="12328" xr:uid="{D4350465-DF59-48B2-9567-90A666433A32}"/>
    <cellStyle name="Currency 5 5 2 4 3" xfId="5901" xr:uid="{00000000-0005-0000-0000-0000490D0000}"/>
    <cellStyle name="Currency 5 5 2 4 3 2" xfId="14396" xr:uid="{11D49261-73E6-422E-BBB2-DCBEEC51B6DF}"/>
    <cellStyle name="Currency 5 5 2 4 4" xfId="10183" xr:uid="{369D3E40-DE3F-4616-B1B8-36CF6A689E77}"/>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54" xr:uid="{3E5B24DC-0B50-4B2B-A3FA-E906C2520ED5}"/>
    <cellStyle name="Currency 5 5 2 5 2 3" xfId="12741" xr:uid="{DDD61F83-008D-4C0D-97E6-C41B7359F927}"/>
    <cellStyle name="Currency 5 5 2 5 3" xfId="6314" xr:uid="{00000000-0005-0000-0000-00004D0D0000}"/>
    <cellStyle name="Currency 5 5 2 5 3 2" xfId="14809" xr:uid="{06CE6EBF-6138-4445-9154-CE93D141EE2F}"/>
    <cellStyle name="Currency 5 5 2 5 4" xfId="10596" xr:uid="{E935D257-C685-41D5-B056-00A8381F8777}"/>
    <cellStyle name="Currency 5 5 2 6" xfId="2443" xr:uid="{00000000-0005-0000-0000-00004E0D0000}"/>
    <cellStyle name="Currency 5 5 2 6 2" xfId="6727" xr:uid="{00000000-0005-0000-0000-00004F0D0000}"/>
    <cellStyle name="Currency 5 5 2 6 2 2" xfId="15222" xr:uid="{DEE97218-9B02-4231-BB87-DC4A491C0BFD}"/>
    <cellStyle name="Currency 5 5 2 6 3" xfId="11009" xr:uid="{96DF6D7E-A3D3-4ACB-B36E-84857A938ECC}"/>
    <cellStyle name="Currency 5 5 2 7" xfId="2740" xr:uid="{00000000-0005-0000-0000-0000500D0000}"/>
    <cellStyle name="Currency 5 5 2 8" xfId="2821" xr:uid="{00000000-0005-0000-0000-0000510D0000}"/>
    <cellStyle name="Currency 5 5 2 8 2" xfId="7044" xr:uid="{00000000-0005-0000-0000-0000520D0000}"/>
    <cellStyle name="Currency 5 5 2 8 2 2" xfId="15539" xr:uid="{E45672D8-FE57-4DD8-81C8-B55C24D209EB}"/>
    <cellStyle name="Currency 5 5 2 8 3" xfId="11326" xr:uid="{BC174532-4BC3-4D32-8F20-719D51AA15DC}"/>
    <cellStyle name="Currency 5 5 2 9" xfId="4661" xr:uid="{00000000-0005-0000-0000-0000530D0000}"/>
    <cellStyle name="Currency 5 5 2 9 2" xfId="13157" xr:uid="{8D93BA8E-3083-4AE7-BC3D-53D7BEAAA04B}"/>
    <cellStyle name="Currency 5 5 3" xfId="745" xr:uid="{00000000-0005-0000-0000-0000540D0000}"/>
    <cellStyle name="Currency 5 5 3 2" xfId="2997" xr:uid="{00000000-0005-0000-0000-0000550D0000}"/>
    <cellStyle name="Currency 5 5 3 2 2" xfId="7219" xr:uid="{00000000-0005-0000-0000-0000560D0000}"/>
    <cellStyle name="Currency 5 5 3 2 2 2" xfId="15714" xr:uid="{157E24A2-247E-4DA4-9D7B-5C76BBC3624F}"/>
    <cellStyle name="Currency 5 5 3 2 3" xfId="11501" xr:uid="{8C7E0CD1-031A-47A7-8F83-E0379A02E820}"/>
    <cellStyle name="Currency 5 5 3 3" xfId="5074" xr:uid="{00000000-0005-0000-0000-0000570D0000}"/>
    <cellStyle name="Currency 5 5 3 3 2" xfId="13569" xr:uid="{45DCEB08-0120-4EEA-8DB1-9F91FCDDD5B4}"/>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2 2 2" xfId="16127" xr:uid="{9026A1B2-5AF2-4780-A2EB-5803D9C3ADF6}"/>
    <cellStyle name="Currency 5 5 4 2 3" xfId="11914" xr:uid="{F9EB330A-4F02-4996-8642-7D6171CBEDDD}"/>
    <cellStyle name="Currency 5 5 4 3" xfId="5487" xr:uid="{00000000-0005-0000-0000-00005B0D0000}"/>
    <cellStyle name="Currency 5 5 4 3 2" xfId="13982" xr:uid="{EA8EBD20-FD41-4A99-A2B5-33AA0C34B6DD}"/>
    <cellStyle name="Currency 5 5 4 4" xfId="9769" xr:uid="{133B5B64-9EB2-4B35-AAAB-4615239335A6}"/>
    <cellStyle name="Currency 5 5 5" xfId="1593" xr:uid="{00000000-0005-0000-0000-00005C0D0000}"/>
    <cellStyle name="Currency 5 5 5 2" xfId="3823" xr:uid="{00000000-0005-0000-0000-00005D0D0000}"/>
    <cellStyle name="Currency 5 5 5 2 2" xfId="8045" xr:uid="{00000000-0005-0000-0000-00005E0D0000}"/>
    <cellStyle name="Currency 5 5 5 2 2 2" xfId="16540" xr:uid="{9692E216-8F3D-4502-98ED-60B962CAF081}"/>
    <cellStyle name="Currency 5 5 5 2 3" xfId="12327" xr:uid="{8262ADD2-08ED-4DD4-8B45-B7F2A5E0156D}"/>
    <cellStyle name="Currency 5 5 5 3" xfId="5900" xr:uid="{00000000-0005-0000-0000-00005F0D0000}"/>
    <cellStyle name="Currency 5 5 5 3 2" xfId="14395" xr:uid="{C60EB3F4-2E18-42AE-B041-534E46E2943D}"/>
    <cellStyle name="Currency 5 5 5 4" xfId="10182" xr:uid="{732915BC-2C13-4DEB-B012-CE88A6EA36ED}"/>
    <cellStyle name="Currency 5 5 6" xfId="2007" xr:uid="{00000000-0005-0000-0000-0000600D0000}"/>
    <cellStyle name="Currency 5 5 6 2" xfId="4236" xr:uid="{00000000-0005-0000-0000-0000610D0000}"/>
    <cellStyle name="Currency 5 5 6 2 2" xfId="8458" xr:uid="{00000000-0005-0000-0000-0000620D0000}"/>
    <cellStyle name="Currency 5 5 6 2 2 2" xfId="16953" xr:uid="{17FC590F-EE71-4EB5-8515-22D0F836C03D}"/>
    <cellStyle name="Currency 5 5 6 2 3" xfId="12740" xr:uid="{EEEBB3A6-5BDC-4394-8493-A23DA5BA3AE9}"/>
    <cellStyle name="Currency 5 5 6 3" xfId="6313" xr:uid="{00000000-0005-0000-0000-0000630D0000}"/>
    <cellStyle name="Currency 5 5 6 3 2" xfId="14808" xr:uid="{ECC9FE1B-FE39-4F8F-B2FA-C1C53C08ABB6}"/>
    <cellStyle name="Currency 5 5 6 4" xfId="10595" xr:uid="{0BCDC76C-C756-4D31-BDC4-22F02D46A53A}"/>
    <cellStyle name="Currency 5 5 7" xfId="2442" xr:uid="{00000000-0005-0000-0000-0000640D0000}"/>
    <cellStyle name="Currency 5 5 7 2" xfId="6726" xr:uid="{00000000-0005-0000-0000-0000650D0000}"/>
    <cellStyle name="Currency 5 5 7 2 2" xfId="15221" xr:uid="{4CB0A14D-069F-43F8-8449-A1F2FA30736A}"/>
    <cellStyle name="Currency 5 5 7 3" xfId="11008" xr:uid="{3183D0BD-97BD-4969-848E-B4126A368745}"/>
    <cellStyle name="Currency 5 5 8" xfId="2739" xr:uid="{00000000-0005-0000-0000-0000660D0000}"/>
    <cellStyle name="Currency 5 5 9" xfId="2820" xr:uid="{00000000-0005-0000-0000-0000670D0000}"/>
    <cellStyle name="Currency 5 5 9 2" xfId="7043" xr:uid="{00000000-0005-0000-0000-0000680D0000}"/>
    <cellStyle name="Currency 5 5 9 2 2" xfId="15538" xr:uid="{521D17F1-FAD9-4012-A947-655940FDE617}"/>
    <cellStyle name="Currency 5 5 9 3" xfId="11325" xr:uid="{FE918487-1A96-4215-9C4F-191EF7231F62}"/>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2 2 2" xfId="15716" xr:uid="{63B705E8-8F1E-465B-AD87-A65ACCDD685D}"/>
    <cellStyle name="Currency 5 6 2 2 3" xfId="11503" xr:uid="{E4BC65E4-1574-473E-9D3D-8E1C43897D61}"/>
    <cellStyle name="Currency 5 6 2 3" xfId="5076" xr:uid="{00000000-0005-0000-0000-00006D0D0000}"/>
    <cellStyle name="Currency 5 6 2 3 2" xfId="13571" xr:uid="{2BA31A73-8BCD-404D-90F4-0BDB21C1A3B9}"/>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2 2 2" xfId="16129" xr:uid="{C12C99CD-5131-4DCF-8017-98D66AC77621}"/>
    <cellStyle name="Currency 5 6 3 2 3" xfId="11916" xr:uid="{4C1BA269-789F-4EEF-A499-755669A206EC}"/>
    <cellStyle name="Currency 5 6 3 3" xfId="5489" xr:uid="{00000000-0005-0000-0000-0000710D0000}"/>
    <cellStyle name="Currency 5 6 3 3 2" xfId="13984" xr:uid="{F3E9D4CF-C39C-4615-8AEB-EAF5A8EF576E}"/>
    <cellStyle name="Currency 5 6 3 4" xfId="9771" xr:uid="{EA5560C8-2BAA-431B-A738-C98603A469C5}"/>
    <cellStyle name="Currency 5 6 4" xfId="1595" xr:uid="{00000000-0005-0000-0000-0000720D0000}"/>
    <cellStyle name="Currency 5 6 4 2" xfId="3825" xr:uid="{00000000-0005-0000-0000-0000730D0000}"/>
    <cellStyle name="Currency 5 6 4 2 2" xfId="8047" xr:uid="{00000000-0005-0000-0000-0000740D0000}"/>
    <cellStyle name="Currency 5 6 4 2 2 2" xfId="16542" xr:uid="{B2815895-9D44-4C14-98F8-AC32C24BA18F}"/>
    <cellStyle name="Currency 5 6 4 2 3" xfId="12329" xr:uid="{1D22E6AD-4A34-45C0-9179-2AC371FA07A4}"/>
    <cellStyle name="Currency 5 6 4 3" xfId="5902" xr:uid="{00000000-0005-0000-0000-0000750D0000}"/>
    <cellStyle name="Currency 5 6 4 3 2" xfId="14397" xr:uid="{1D638EED-40D6-4DFD-AA5F-DDD2E7B72307}"/>
    <cellStyle name="Currency 5 6 4 4" xfId="10184" xr:uid="{F444266F-D05F-4227-BCF5-1DE519E2ACA2}"/>
    <cellStyle name="Currency 5 6 5" xfId="2009" xr:uid="{00000000-0005-0000-0000-0000760D0000}"/>
    <cellStyle name="Currency 5 6 5 2" xfId="4238" xr:uid="{00000000-0005-0000-0000-0000770D0000}"/>
    <cellStyle name="Currency 5 6 5 2 2" xfId="8460" xr:uid="{00000000-0005-0000-0000-0000780D0000}"/>
    <cellStyle name="Currency 5 6 5 2 2 2" xfId="16955" xr:uid="{48E82DE3-02F6-4249-B487-42D1C7CFC275}"/>
    <cellStyle name="Currency 5 6 5 2 3" xfId="12742" xr:uid="{1661D13E-5FE7-4038-81FE-BD7536F59D54}"/>
    <cellStyle name="Currency 5 6 5 3" xfId="6315" xr:uid="{00000000-0005-0000-0000-0000790D0000}"/>
    <cellStyle name="Currency 5 6 5 3 2" xfId="14810" xr:uid="{40144C9A-A652-4EF6-B37E-685690C4260A}"/>
    <cellStyle name="Currency 5 6 5 4" xfId="10597" xr:uid="{CB7B9AC7-2D6D-47CB-AF2A-D3D656563B9E}"/>
    <cellStyle name="Currency 5 6 6" xfId="2444" xr:uid="{00000000-0005-0000-0000-00007A0D0000}"/>
    <cellStyle name="Currency 5 6 6 2" xfId="6728" xr:uid="{00000000-0005-0000-0000-00007B0D0000}"/>
    <cellStyle name="Currency 5 6 6 2 2" xfId="15223" xr:uid="{9E336DF7-E915-42B7-8805-6789EB416F97}"/>
    <cellStyle name="Currency 5 6 6 3" xfId="11010" xr:uid="{7FAA1557-F361-4DC7-9CAD-EFDCBF3B4047}"/>
    <cellStyle name="Currency 5 6 7" xfId="2741" xr:uid="{00000000-0005-0000-0000-00007C0D0000}"/>
    <cellStyle name="Currency 5 6 8" xfId="2822" xr:uid="{00000000-0005-0000-0000-00007D0D0000}"/>
    <cellStyle name="Currency 5 6 8 2" xfId="7045" xr:uid="{00000000-0005-0000-0000-00007E0D0000}"/>
    <cellStyle name="Currency 5 6 8 2 2" xfId="15540" xr:uid="{A2AF61FC-2FAB-4F8E-8FC9-F0AE4A4AC9C6}"/>
    <cellStyle name="Currency 5 6 8 3" xfId="11327" xr:uid="{1AB066F6-3F4B-4B63-A73A-65471F95D81B}"/>
    <cellStyle name="Currency 5 6 9" xfId="4662" xr:uid="{00000000-0005-0000-0000-00007F0D0000}"/>
    <cellStyle name="Currency 5 6 9 2" xfId="13158" xr:uid="{17A3B8F6-9C15-4025-AB60-38AD03CCB052}"/>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2 2 2" xfId="15717" xr:uid="{08C3201B-006C-4A2E-A2F1-0FFF8D338908}"/>
    <cellStyle name="Currency 5 7 2 2 3" xfId="11504" xr:uid="{C6E58BFF-06F5-4072-99FE-15971E976574}"/>
    <cellStyle name="Currency 5 7 2 3" xfId="5077" xr:uid="{00000000-0005-0000-0000-0000840D0000}"/>
    <cellStyle name="Currency 5 7 2 3 2" xfId="13572" xr:uid="{73A3B722-23B8-4A1E-A95B-03F9C3C1EE2A}"/>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2 2 2" xfId="16130" xr:uid="{B6D63DF5-4E7E-468C-BD55-BF41AD04E6E0}"/>
    <cellStyle name="Currency 5 7 3 2 3" xfId="11917" xr:uid="{56474397-AE31-44A2-A771-CC2B21E5BC90}"/>
    <cellStyle name="Currency 5 7 3 3" xfId="5490" xr:uid="{00000000-0005-0000-0000-0000880D0000}"/>
    <cellStyle name="Currency 5 7 3 3 2" xfId="13985" xr:uid="{4EBFD18E-D061-4781-B3B1-A2EDCE782867}"/>
    <cellStyle name="Currency 5 7 3 4" xfId="9772" xr:uid="{FEEDFB0F-BAC6-4083-9C77-8866DD91B483}"/>
    <cellStyle name="Currency 5 7 4" xfId="1596" xr:uid="{00000000-0005-0000-0000-0000890D0000}"/>
    <cellStyle name="Currency 5 7 4 2" xfId="3826" xr:uid="{00000000-0005-0000-0000-00008A0D0000}"/>
    <cellStyle name="Currency 5 7 4 2 2" xfId="8048" xr:uid="{00000000-0005-0000-0000-00008B0D0000}"/>
    <cellStyle name="Currency 5 7 4 2 2 2" xfId="16543" xr:uid="{97FF82C8-3D48-4C9C-A105-EACDB1AE0FD8}"/>
    <cellStyle name="Currency 5 7 4 2 3" xfId="12330" xr:uid="{F156C215-E595-4DB2-B761-F76211BF9AF0}"/>
    <cellStyle name="Currency 5 7 4 3" xfId="5903" xr:uid="{00000000-0005-0000-0000-00008C0D0000}"/>
    <cellStyle name="Currency 5 7 4 3 2" xfId="14398" xr:uid="{D8AB2B64-DA9B-41B6-A9F5-79E8C82C6810}"/>
    <cellStyle name="Currency 5 7 4 4" xfId="10185" xr:uid="{D6B9FFCB-D353-4A64-B29E-6DBC5CFFD514}"/>
    <cellStyle name="Currency 5 7 5" xfId="2010" xr:uid="{00000000-0005-0000-0000-00008D0D0000}"/>
    <cellStyle name="Currency 5 7 5 2" xfId="4239" xr:uid="{00000000-0005-0000-0000-00008E0D0000}"/>
    <cellStyle name="Currency 5 7 5 2 2" xfId="8461" xr:uid="{00000000-0005-0000-0000-00008F0D0000}"/>
    <cellStyle name="Currency 5 7 5 2 2 2" xfId="16956" xr:uid="{3C0B56E0-30AE-4D22-9726-396CFB0CF6C6}"/>
    <cellStyle name="Currency 5 7 5 2 3" xfId="12743" xr:uid="{F2A51362-8BD9-4E07-92C7-03276CB98AD3}"/>
    <cellStyle name="Currency 5 7 5 3" xfId="6316" xr:uid="{00000000-0005-0000-0000-0000900D0000}"/>
    <cellStyle name="Currency 5 7 5 3 2" xfId="14811" xr:uid="{1EF9F486-32AD-42DC-8807-FC8DDAD62A98}"/>
    <cellStyle name="Currency 5 7 5 4" xfId="10598" xr:uid="{A6E009DB-1849-4DEB-9667-BF6D66929280}"/>
    <cellStyle name="Currency 5 7 6" xfId="2445" xr:uid="{00000000-0005-0000-0000-0000910D0000}"/>
    <cellStyle name="Currency 5 7 6 2" xfId="6729" xr:uid="{00000000-0005-0000-0000-0000920D0000}"/>
    <cellStyle name="Currency 5 7 6 2 2" xfId="15224" xr:uid="{9ED43634-0528-4AE4-803C-29D87741B07C}"/>
    <cellStyle name="Currency 5 7 6 3" xfId="11011" xr:uid="{80BF5CB9-6FA7-406A-B00A-B10AAC7EAC08}"/>
    <cellStyle name="Currency 5 7 7" xfId="2742" xr:uid="{00000000-0005-0000-0000-0000930D0000}"/>
    <cellStyle name="Currency 5 7 8" xfId="2823" xr:uid="{00000000-0005-0000-0000-0000940D0000}"/>
    <cellStyle name="Currency 5 7 8 2" xfId="7046" xr:uid="{00000000-0005-0000-0000-0000950D0000}"/>
    <cellStyle name="Currency 5 7 8 2 2" xfId="15541" xr:uid="{B49AC28A-C328-4BBC-B27D-321CA9CA6E76}"/>
    <cellStyle name="Currency 5 7 8 3" xfId="11328" xr:uid="{2B1F78A6-3B8D-4A99-BD7C-741448C9A4DC}"/>
    <cellStyle name="Currency 5 7 9" xfId="4663" xr:uid="{00000000-0005-0000-0000-0000960D0000}"/>
    <cellStyle name="Currency 5 7 9 2" xfId="13159" xr:uid="{DFBE9A8D-B14D-4C33-8808-C99CBE79052B}"/>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225" xr:uid="{6DC8896C-C267-41D0-AD37-B520524DC0A4}"/>
    <cellStyle name="Normal 12 10 3" xfId="11012" xr:uid="{E64E7D78-9B1C-4398-B99B-B4D8198FCA92}"/>
    <cellStyle name="Normal 12 11" xfId="4664" xr:uid="{00000000-0005-0000-0000-0000CC0D0000}"/>
    <cellStyle name="Normal 12 11 2" xfId="13160" xr:uid="{BB34AA05-529D-4E7C-BDB2-38FE6F0097ED}"/>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721" xr:uid="{B2D3EB9A-EB62-41FC-96DC-188CB04962D2}"/>
    <cellStyle name="Normal 12 2 2 2 2 2 3" xfId="11508" xr:uid="{8D0D5F28-0827-4CF4-94C1-C65A331C4ACD}"/>
    <cellStyle name="Normal 12 2 2 2 2 3" xfId="5081" xr:uid="{00000000-0005-0000-0000-0000D30D0000}"/>
    <cellStyle name="Normal 12 2 2 2 2 3 2" xfId="13576" xr:uid="{A08EA549-CB24-4A13-85F9-8022BF8D867A}"/>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134" xr:uid="{FD2173EE-04EB-40E9-AF31-26B3D947384F}"/>
    <cellStyle name="Normal 12 2 2 2 3 2 3" xfId="11921" xr:uid="{96ED03A6-BA96-4E2D-AC5E-0D8B6816905B}"/>
    <cellStyle name="Normal 12 2 2 2 3 3" xfId="5494" xr:uid="{00000000-0005-0000-0000-0000D70D0000}"/>
    <cellStyle name="Normal 12 2 2 2 3 3 2" xfId="13989" xr:uid="{CB050AB5-A6FB-40D1-9A5F-F3B747DE9882}"/>
    <cellStyle name="Normal 12 2 2 2 3 4" xfId="9776" xr:uid="{4B560933-34FD-4C83-A61B-621B2AF5498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47" xr:uid="{FD767616-2C29-44BD-A1AC-43E02CF8292B}"/>
    <cellStyle name="Normal 12 2 2 2 4 2 3" xfId="12334" xr:uid="{40A1E1B7-4C26-417F-9C85-FD291BB066D5}"/>
    <cellStyle name="Normal 12 2 2 2 4 3" xfId="5907" xr:uid="{00000000-0005-0000-0000-0000DB0D0000}"/>
    <cellStyle name="Normal 12 2 2 2 4 3 2" xfId="14402" xr:uid="{07FF3DE3-83F5-4095-9C7B-E91058647CD4}"/>
    <cellStyle name="Normal 12 2 2 2 4 4" xfId="10189" xr:uid="{88771110-A699-40AA-AF49-33B47949F02C}"/>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60" xr:uid="{350434E8-D1F1-403C-B2B7-51C8C53B871E}"/>
    <cellStyle name="Normal 12 2 2 2 5 2 3" xfId="12747" xr:uid="{53494768-DE04-4BEC-BBB1-4019F315635C}"/>
    <cellStyle name="Normal 12 2 2 2 5 3" xfId="6320" xr:uid="{00000000-0005-0000-0000-0000DF0D0000}"/>
    <cellStyle name="Normal 12 2 2 2 5 3 2" xfId="14815" xr:uid="{4D9F2320-F368-4459-B705-130B7BE46BA7}"/>
    <cellStyle name="Normal 12 2 2 2 5 4" xfId="10602" xr:uid="{FC7B2F37-500C-4083-8122-FB56AD5C0A88}"/>
    <cellStyle name="Normal 12 2 2 2 6" xfId="2450" xr:uid="{00000000-0005-0000-0000-0000E00D0000}"/>
    <cellStyle name="Normal 12 2 2 2 6 2" xfId="6733" xr:uid="{00000000-0005-0000-0000-0000E10D0000}"/>
    <cellStyle name="Normal 12 2 2 2 6 2 2" xfId="15228" xr:uid="{B9B79413-76F2-4F36-8E6F-B9DDAA6D1FC1}"/>
    <cellStyle name="Normal 12 2 2 2 6 3" xfId="11015" xr:uid="{22B2BD03-D374-4187-A913-6FBC7F56198E}"/>
    <cellStyle name="Normal 12 2 2 2 7" xfId="4667" xr:uid="{00000000-0005-0000-0000-0000E20D0000}"/>
    <cellStyle name="Normal 12 2 2 2 7 2" xfId="13163" xr:uid="{4C04FF1D-38C7-42B6-A60B-75449102AAF9}"/>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2 2 2" xfId="15720" xr:uid="{53A7DBA4-6CBB-4455-B361-66D829F4E8FE}"/>
    <cellStyle name="Normal 12 2 2 3 2 3" xfId="11507" xr:uid="{A34405A0-BCA0-48D8-A87D-405A1A7F46BE}"/>
    <cellStyle name="Normal 12 2 2 3 3" xfId="5080" xr:uid="{00000000-0005-0000-0000-0000E60D0000}"/>
    <cellStyle name="Normal 12 2 2 3 3 2" xfId="13575" xr:uid="{DC30A9FC-598F-4292-9F3B-F4894A137824}"/>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133" xr:uid="{3C48B597-2A72-4CDC-AC53-E530CBA0643E}"/>
    <cellStyle name="Normal 12 2 2 4 2 3" xfId="11920" xr:uid="{D106B53C-6C1D-43B3-BE40-4967C2C1148D}"/>
    <cellStyle name="Normal 12 2 2 4 3" xfId="5493" xr:uid="{00000000-0005-0000-0000-0000EA0D0000}"/>
    <cellStyle name="Normal 12 2 2 4 3 2" xfId="13988" xr:uid="{B5853732-35DC-449C-B8EC-F72D1B3D8F3F}"/>
    <cellStyle name="Normal 12 2 2 4 4" xfId="9775" xr:uid="{C7717B65-63C3-4C86-B3DF-B2B53FD9C877}"/>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46" xr:uid="{67280567-FCC9-41B3-A77B-169EEA1F65B5}"/>
    <cellStyle name="Normal 12 2 2 5 2 3" xfId="12333" xr:uid="{EF47C93E-D7DF-4CEF-A8B6-5DB5A51E6079}"/>
    <cellStyle name="Normal 12 2 2 5 3" xfId="5906" xr:uid="{00000000-0005-0000-0000-0000EE0D0000}"/>
    <cellStyle name="Normal 12 2 2 5 3 2" xfId="14401" xr:uid="{EF558C36-982E-411D-B6E9-587B6E8D1067}"/>
    <cellStyle name="Normal 12 2 2 5 4" xfId="10188" xr:uid="{449A89E1-290D-484D-9FAF-E409DEB7BB42}"/>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59" xr:uid="{38C3C419-A59D-4C2A-8FDD-D980DCDEF6E1}"/>
    <cellStyle name="Normal 12 2 2 6 2 3" xfId="12746" xr:uid="{21A4F4C0-DD0A-4889-A41A-45E019E404AE}"/>
    <cellStyle name="Normal 12 2 2 6 3" xfId="6319" xr:uid="{00000000-0005-0000-0000-0000F20D0000}"/>
    <cellStyle name="Normal 12 2 2 6 3 2" xfId="14814" xr:uid="{9D37E53B-AD15-4751-9283-AC90BBE0B5DE}"/>
    <cellStyle name="Normal 12 2 2 6 4" xfId="10601" xr:uid="{89D14C2E-7FC5-4F24-9217-B4820B77A8D8}"/>
    <cellStyle name="Normal 12 2 2 7" xfId="2449" xr:uid="{00000000-0005-0000-0000-0000F30D0000}"/>
    <cellStyle name="Normal 12 2 2 7 2" xfId="6732" xr:uid="{00000000-0005-0000-0000-0000F40D0000}"/>
    <cellStyle name="Normal 12 2 2 7 2 2" xfId="15227" xr:uid="{2374CB5B-F890-479B-A10D-B162760ECAC9}"/>
    <cellStyle name="Normal 12 2 2 7 3" xfId="11014" xr:uid="{8F7291DF-26A3-4C93-B4F7-DBB7DB9AEF2E}"/>
    <cellStyle name="Normal 12 2 2 8" xfId="4666" xr:uid="{00000000-0005-0000-0000-0000F50D0000}"/>
    <cellStyle name="Normal 12 2 2 8 2" xfId="13162" xr:uid="{974BBC0D-36A4-490B-90CB-51377C98D83D}"/>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722" xr:uid="{82E122B9-9AA6-46D6-A262-ABBC85F28211}"/>
    <cellStyle name="Normal 12 2 3 2 2 3" xfId="11509" xr:uid="{10B4496F-7061-460A-8546-5B0D98CA3852}"/>
    <cellStyle name="Normal 12 2 3 2 3" xfId="5082" xr:uid="{00000000-0005-0000-0000-0000FA0D0000}"/>
    <cellStyle name="Normal 12 2 3 2 3 2" xfId="13577" xr:uid="{F78848B5-A7BF-4594-83F0-42BF03906A85}"/>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135" xr:uid="{E8E9E50B-AAE3-4D9C-A5A5-F0E1A65E07C2}"/>
    <cellStyle name="Normal 12 2 3 3 2 3" xfId="11922" xr:uid="{070966A8-6A3D-4EC6-A76E-B7DB44B997F2}"/>
    <cellStyle name="Normal 12 2 3 3 3" xfId="5495" xr:uid="{00000000-0005-0000-0000-0000FE0D0000}"/>
    <cellStyle name="Normal 12 2 3 3 3 2" xfId="13990" xr:uid="{F63590C8-D504-4DA5-A2F1-8B024E58D2D1}"/>
    <cellStyle name="Normal 12 2 3 3 4" xfId="9777" xr:uid="{29E9ECA3-64D1-4460-A07B-10EE1B7B7C3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48" xr:uid="{6ACA5BE4-3A55-4C37-8F2E-792EC9929A18}"/>
    <cellStyle name="Normal 12 2 3 4 2 3" xfId="12335" xr:uid="{412BD324-53F1-444B-9EB6-5CFCE9DA135F}"/>
    <cellStyle name="Normal 12 2 3 4 3" xfId="5908" xr:uid="{00000000-0005-0000-0000-0000020E0000}"/>
    <cellStyle name="Normal 12 2 3 4 3 2" xfId="14403" xr:uid="{BCDD44BA-6817-4C95-8E07-F0774D28EE03}"/>
    <cellStyle name="Normal 12 2 3 4 4" xfId="10190" xr:uid="{A0467085-A2FC-4856-8189-77C4B30F7EF9}"/>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61" xr:uid="{719D81A5-5249-491E-B0D6-725E3835BCC2}"/>
    <cellStyle name="Normal 12 2 3 5 2 3" xfId="12748" xr:uid="{073B4CA2-EF09-490B-8F5B-1729033054DB}"/>
    <cellStyle name="Normal 12 2 3 5 3" xfId="6321" xr:uid="{00000000-0005-0000-0000-0000060E0000}"/>
    <cellStyle name="Normal 12 2 3 5 3 2" xfId="14816" xr:uid="{406082B0-FE61-4F38-964A-83337E911BFC}"/>
    <cellStyle name="Normal 12 2 3 5 4" xfId="10603" xr:uid="{85F95C27-F599-4DBF-A808-06AFD451E336}"/>
    <cellStyle name="Normal 12 2 3 6" xfId="2451" xr:uid="{00000000-0005-0000-0000-0000070E0000}"/>
    <cellStyle name="Normal 12 2 3 6 2" xfId="6734" xr:uid="{00000000-0005-0000-0000-0000080E0000}"/>
    <cellStyle name="Normal 12 2 3 6 2 2" xfId="15229" xr:uid="{9AD26392-CEDF-4C11-A3E8-C16CA23FA278}"/>
    <cellStyle name="Normal 12 2 3 6 3" xfId="11016" xr:uid="{9AFB4425-A7CB-486E-9B53-430BD063507F}"/>
    <cellStyle name="Normal 12 2 3 7" xfId="4668" xr:uid="{00000000-0005-0000-0000-0000090E0000}"/>
    <cellStyle name="Normal 12 2 3 7 2" xfId="13164" xr:uid="{EDE56D2B-7E2C-4B99-B90F-E184403F8E01}"/>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2 2 2" xfId="15719" xr:uid="{EA47A5B6-03DC-4167-88DC-095404095F50}"/>
    <cellStyle name="Normal 12 2 4 2 3" xfId="11506" xr:uid="{F68F5D5D-8F81-4C21-A014-4A4DBB2E842A}"/>
    <cellStyle name="Normal 12 2 4 3" xfId="5079" xr:uid="{00000000-0005-0000-0000-00000D0E0000}"/>
    <cellStyle name="Normal 12 2 4 3 2" xfId="13574" xr:uid="{A5AC2E28-4A59-48A9-9F6C-A5D07389E5B8}"/>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2 2 2" xfId="16132" xr:uid="{FA9B2BD6-7FAE-41AC-BE9A-E64FA77CA623}"/>
    <cellStyle name="Normal 12 2 5 2 3" xfId="11919" xr:uid="{92A6D80D-81B5-41FE-B4DC-E29F9714BE2E}"/>
    <cellStyle name="Normal 12 2 5 3" xfId="5492" xr:uid="{00000000-0005-0000-0000-0000110E0000}"/>
    <cellStyle name="Normal 12 2 5 3 2" xfId="13987" xr:uid="{249BE19A-3CE6-4101-94C3-030B3C508B6C}"/>
    <cellStyle name="Normal 12 2 5 4" xfId="9774" xr:uid="{749DFB86-558B-42F8-9CCB-C05624DBC5BC}"/>
    <cellStyle name="Normal 12 2 6" xfId="1598" xr:uid="{00000000-0005-0000-0000-0000120E0000}"/>
    <cellStyle name="Normal 12 2 6 2" xfId="3828" xr:uid="{00000000-0005-0000-0000-0000130E0000}"/>
    <cellStyle name="Normal 12 2 6 2 2" xfId="8050" xr:uid="{00000000-0005-0000-0000-0000140E0000}"/>
    <cellStyle name="Normal 12 2 6 2 2 2" xfId="16545" xr:uid="{B102AA8F-3A17-4076-BAAA-479EA704BC31}"/>
    <cellStyle name="Normal 12 2 6 2 3" xfId="12332" xr:uid="{9EC41147-2481-4FA5-8EF0-3E03529B2B87}"/>
    <cellStyle name="Normal 12 2 6 3" xfId="5905" xr:uid="{00000000-0005-0000-0000-0000150E0000}"/>
    <cellStyle name="Normal 12 2 6 3 2" xfId="14400" xr:uid="{759DD9E2-8E58-49A1-B321-D28E4807C243}"/>
    <cellStyle name="Normal 12 2 6 4" xfId="10187" xr:uid="{07407ABB-01C9-4E12-B6F2-C5E03BD0ACC2}"/>
    <cellStyle name="Normal 12 2 7" xfId="2012" xr:uid="{00000000-0005-0000-0000-0000160E0000}"/>
    <cellStyle name="Normal 12 2 7 2" xfId="4241" xr:uid="{00000000-0005-0000-0000-0000170E0000}"/>
    <cellStyle name="Normal 12 2 7 2 2" xfId="8463" xr:uid="{00000000-0005-0000-0000-0000180E0000}"/>
    <cellStyle name="Normal 12 2 7 2 2 2" xfId="16958" xr:uid="{15058D0A-CBD3-43EE-8DBE-62C39FC5C6E8}"/>
    <cellStyle name="Normal 12 2 7 2 3" xfId="12745" xr:uid="{E7358F8F-DB66-43C2-9516-696F6D51595D}"/>
    <cellStyle name="Normal 12 2 7 3" xfId="6318" xr:uid="{00000000-0005-0000-0000-0000190E0000}"/>
    <cellStyle name="Normal 12 2 7 3 2" xfId="14813" xr:uid="{BC26A297-9106-48D1-A77C-5AF72379EB2F}"/>
    <cellStyle name="Normal 12 2 7 4" xfId="10600" xr:uid="{0040D915-FDEE-4566-895C-4AA6C32B9578}"/>
    <cellStyle name="Normal 12 2 8" xfId="2448" xr:uid="{00000000-0005-0000-0000-00001A0E0000}"/>
    <cellStyle name="Normal 12 2 8 2" xfId="6731" xr:uid="{00000000-0005-0000-0000-00001B0E0000}"/>
    <cellStyle name="Normal 12 2 8 2 2" xfId="15226" xr:uid="{50ACC160-66A9-492A-B68F-517804E2DF61}"/>
    <cellStyle name="Normal 12 2 8 3" xfId="11013" xr:uid="{3C19B0E7-234F-483B-8C40-B4DBCF93CDB5}"/>
    <cellStyle name="Normal 12 2 9" xfId="4665" xr:uid="{00000000-0005-0000-0000-00001C0E0000}"/>
    <cellStyle name="Normal 12 2 9 2" xfId="13161" xr:uid="{AF896499-2FFE-45AE-AA39-2DEAC78E042B}"/>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724" xr:uid="{45DA4527-2EC9-4010-A63F-0E53F161C443}"/>
    <cellStyle name="Normal 12 3 2 2 2 3" xfId="11511" xr:uid="{C869546E-8DCA-4A75-AEBA-FF233D95631D}"/>
    <cellStyle name="Normal 12 3 2 2 3" xfId="5084" xr:uid="{00000000-0005-0000-0000-0000220E0000}"/>
    <cellStyle name="Normal 12 3 2 2 3 2" xfId="13579" xr:uid="{7E544CD2-EE50-4E5A-9059-163BB7AB3B86}"/>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137" xr:uid="{0C82E1BB-45C6-4687-95DB-04D38B651B5E}"/>
    <cellStyle name="Normal 12 3 2 3 2 3" xfId="11924" xr:uid="{D7486196-D79C-4E77-836A-D06CB8B65356}"/>
    <cellStyle name="Normal 12 3 2 3 3" xfId="5497" xr:uid="{00000000-0005-0000-0000-0000260E0000}"/>
    <cellStyle name="Normal 12 3 2 3 3 2" xfId="13992" xr:uid="{BD4847C0-4269-4162-BA04-88709561D20C}"/>
    <cellStyle name="Normal 12 3 2 3 4" xfId="9779" xr:uid="{512B465C-F7AE-4B7A-BB9B-4C859BD10420}"/>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50" xr:uid="{A635D488-4BE4-4376-884A-89D6B0D65E08}"/>
    <cellStyle name="Normal 12 3 2 4 2 3" xfId="12337" xr:uid="{83315758-1429-40F0-9AA4-9178E0C3843F}"/>
    <cellStyle name="Normal 12 3 2 4 3" xfId="5910" xr:uid="{00000000-0005-0000-0000-00002A0E0000}"/>
    <cellStyle name="Normal 12 3 2 4 3 2" xfId="14405" xr:uid="{CC1601A2-4522-47C0-B4BB-D0E23DEC1901}"/>
    <cellStyle name="Normal 12 3 2 4 4" xfId="10192" xr:uid="{EA2DB3B7-8C7C-4C21-9E6D-9DFD676B32F3}"/>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63" xr:uid="{400A1AE9-A82C-46F8-8ED0-27F141F16817}"/>
    <cellStyle name="Normal 12 3 2 5 2 3" xfId="12750" xr:uid="{45539D14-E8F3-4DBB-BE27-A553E273123C}"/>
    <cellStyle name="Normal 12 3 2 5 3" xfId="6323" xr:uid="{00000000-0005-0000-0000-00002E0E0000}"/>
    <cellStyle name="Normal 12 3 2 5 3 2" xfId="14818" xr:uid="{65AC5357-7EF7-498E-9650-0944101300DF}"/>
    <cellStyle name="Normal 12 3 2 5 4" xfId="10605" xr:uid="{B820A901-9E3B-40CD-A8BA-3709AE7DA98E}"/>
    <cellStyle name="Normal 12 3 2 6" xfId="2453" xr:uid="{00000000-0005-0000-0000-00002F0E0000}"/>
    <cellStyle name="Normal 12 3 2 6 2" xfId="6736" xr:uid="{00000000-0005-0000-0000-0000300E0000}"/>
    <cellStyle name="Normal 12 3 2 6 2 2" xfId="15231" xr:uid="{499AD6FD-C91F-4592-B7D0-2F385C7EA479}"/>
    <cellStyle name="Normal 12 3 2 6 3" xfId="11018" xr:uid="{40FE85C7-C313-4651-AD8E-D03246AF8D30}"/>
    <cellStyle name="Normal 12 3 2 7" xfId="4670" xr:uid="{00000000-0005-0000-0000-0000310E0000}"/>
    <cellStyle name="Normal 12 3 2 7 2" xfId="13166" xr:uid="{CE010659-C124-4495-A093-4C697A13917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2 2 2" xfId="15723" xr:uid="{3A22E0AB-440A-4DDB-9089-F60EE0C8C57D}"/>
    <cellStyle name="Normal 12 3 3 2 3" xfId="11510" xr:uid="{D953FC6B-D581-43D4-AA2B-04224E0A2FCF}"/>
    <cellStyle name="Normal 12 3 3 3" xfId="5083" xr:uid="{00000000-0005-0000-0000-0000350E0000}"/>
    <cellStyle name="Normal 12 3 3 3 2" xfId="13578" xr:uid="{EA686D89-D201-4605-B82C-425685708166}"/>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2 2 2" xfId="16136" xr:uid="{9F3011C3-8E29-42C9-A687-B9D6C3C438D5}"/>
    <cellStyle name="Normal 12 3 4 2 3" xfId="11923" xr:uid="{79DB0340-D6B8-45F5-93DB-D446753EB48E}"/>
    <cellStyle name="Normal 12 3 4 3" xfId="5496" xr:uid="{00000000-0005-0000-0000-0000390E0000}"/>
    <cellStyle name="Normal 12 3 4 3 2" xfId="13991" xr:uid="{8815E7C6-A641-42A1-8CDB-1BCBC757439E}"/>
    <cellStyle name="Normal 12 3 4 4" xfId="9778" xr:uid="{CA7FE023-6C3C-43F2-B44F-E4B999301ED5}"/>
    <cellStyle name="Normal 12 3 5" xfId="1602" xr:uid="{00000000-0005-0000-0000-00003A0E0000}"/>
    <cellStyle name="Normal 12 3 5 2" xfId="3832" xr:uid="{00000000-0005-0000-0000-00003B0E0000}"/>
    <cellStyle name="Normal 12 3 5 2 2" xfId="8054" xr:uid="{00000000-0005-0000-0000-00003C0E0000}"/>
    <cellStyle name="Normal 12 3 5 2 2 2" xfId="16549" xr:uid="{40309C78-3CC7-4903-911F-6EB8283DB0E8}"/>
    <cellStyle name="Normal 12 3 5 2 3" xfId="12336" xr:uid="{D03CF4B4-F8FF-4C6B-BCF1-834CD1693FCC}"/>
    <cellStyle name="Normal 12 3 5 3" xfId="5909" xr:uid="{00000000-0005-0000-0000-00003D0E0000}"/>
    <cellStyle name="Normal 12 3 5 3 2" xfId="14404" xr:uid="{71C3F7FA-A6E5-44AE-8D16-47555B76F57A}"/>
    <cellStyle name="Normal 12 3 5 4" xfId="10191" xr:uid="{B980E79E-8EB0-4FE4-A5DD-AAF9B5A375E9}"/>
    <cellStyle name="Normal 12 3 6" xfId="2016" xr:uid="{00000000-0005-0000-0000-00003E0E0000}"/>
    <cellStyle name="Normal 12 3 6 2" xfId="4245" xr:uid="{00000000-0005-0000-0000-00003F0E0000}"/>
    <cellStyle name="Normal 12 3 6 2 2" xfId="8467" xr:uid="{00000000-0005-0000-0000-0000400E0000}"/>
    <cellStyle name="Normal 12 3 6 2 2 2" xfId="16962" xr:uid="{BDA25BCA-A70B-4001-889B-FF97B3FD49C9}"/>
    <cellStyle name="Normal 12 3 6 2 3" xfId="12749" xr:uid="{D788ED81-9C14-4D79-9800-9AE8FC565C9D}"/>
    <cellStyle name="Normal 12 3 6 3" xfId="6322" xr:uid="{00000000-0005-0000-0000-0000410E0000}"/>
    <cellStyle name="Normal 12 3 6 3 2" xfId="14817" xr:uid="{115E7DFC-ABD6-45D6-8754-5AD28E8DBA96}"/>
    <cellStyle name="Normal 12 3 6 4" xfId="10604" xr:uid="{050F9201-CCDE-4DC9-BE94-7500749AB96B}"/>
    <cellStyle name="Normal 12 3 7" xfId="2452" xr:uid="{00000000-0005-0000-0000-0000420E0000}"/>
    <cellStyle name="Normal 12 3 7 2" xfId="6735" xr:uid="{00000000-0005-0000-0000-0000430E0000}"/>
    <cellStyle name="Normal 12 3 7 2 2" xfId="15230" xr:uid="{8B46066C-2243-4DB9-8B35-27F359A799FF}"/>
    <cellStyle name="Normal 12 3 7 3" xfId="11017" xr:uid="{0D0C1BD8-27F9-44FA-A2C7-CBCB02B60F39}"/>
    <cellStyle name="Normal 12 3 8" xfId="4669" xr:uid="{00000000-0005-0000-0000-0000440E0000}"/>
    <cellStyle name="Normal 12 3 8 2" xfId="13165" xr:uid="{6A8AE470-2DE9-4AE7-9665-AE1CECBD47C3}"/>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725" xr:uid="{BD3F2E52-1397-4C51-8800-03A5EFF99229}"/>
    <cellStyle name="Normal 12 4 2 2 3" xfId="11512" xr:uid="{CE6E4BBE-1A2F-42F0-BE42-DA8A66F93B31}"/>
    <cellStyle name="Normal 12 4 2 3" xfId="5085" xr:uid="{00000000-0005-0000-0000-0000490E0000}"/>
    <cellStyle name="Normal 12 4 2 3 2" xfId="13580" xr:uid="{CD75EC84-1B2C-4077-81F9-A9F675453865}"/>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2 2 2" xfId="16138" xr:uid="{8694898D-54DC-4F6C-B56A-F0774C06F254}"/>
    <cellStyle name="Normal 12 4 3 2 3" xfId="11925" xr:uid="{F52CCD63-6FF5-4180-B4E9-38702E7D4E33}"/>
    <cellStyle name="Normal 12 4 3 3" xfId="5498" xr:uid="{00000000-0005-0000-0000-00004D0E0000}"/>
    <cellStyle name="Normal 12 4 3 3 2" xfId="13993" xr:uid="{B1BF7C1F-60F9-4BC2-BDCD-46A5E88EA1D0}"/>
    <cellStyle name="Normal 12 4 3 4" xfId="9780" xr:uid="{1528AC04-E9A5-401D-B63B-8EFC2EB7A39D}"/>
    <cellStyle name="Normal 12 4 4" xfId="1604" xr:uid="{00000000-0005-0000-0000-00004E0E0000}"/>
    <cellStyle name="Normal 12 4 4 2" xfId="3834" xr:uid="{00000000-0005-0000-0000-00004F0E0000}"/>
    <cellStyle name="Normal 12 4 4 2 2" xfId="8056" xr:uid="{00000000-0005-0000-0000-0000500E0000}"/>
    <cellStyle name="Normal 12 4 4 2 2 2" xfId="16551" xr:uid="{0426C5F4-00A4-4E86-9321-23AA44E92A2E}"/>
    <cellStyle name="Normal 12 4 4 2 3" xfId="12338" xr:uid="{7A4A19AE-576B-4061-A0D5-D4096032FC85}"/>
    <cellStyle name="Normal 12 4 4 3" xfId="5911" xr:uid="{00000000-0005-0000-0000-0000510E0000}"/>
    <cellStyle name="Normal 12 4 4 3 2" xfId="14406" xr:uid="{B000256E-768B-4264-B31E-05E3A710ECF1}"/>
    <cellStyle name="Normal 12 4 4 4" xfId="10193" xr:uid="{69EC2132-8D9E-4F11-B8F9-5D3162300634}"/>
    <cellStyle name="Normal 12 4 5" xfId="2018" xr:uid="{00000000-0005-0000-0000-0000520E0000}"/>
    <cellStyle name="Normal 12 4 5 2" xfId="4247" xr:uid="{00000000-0005-0000-0000-0000530E0000}"/>
    <cellStyle name="Normal 12 4 5 2 2" xfId="8469" xr:uid="{00000000-0005-0000-0000-0000540E0000}"/>
    <cellStyle name="Normal 12 4 5 2 2 2" xfId="16964" xr:uid="{E15D9B4F-B5AE-470A-8331-6D7845D0EF28}"/>
    <cellStyle name="Normal 12 4 5 2 3" xfId="12751" xr:uid="{6068A75F-F287-4077-856D-0AC6403D1E4A}"/>
    <cellStyle name="Normal 12 4 5 3" xfId="6324" xr:uid="{00000000-0005-0000-0000-0000550E0000}"/>
    <cellStyle name="Normal 12 4 5 3 2" xfId="14819" xr:uid="{4BF338A9-44B0-41D2-A49C-32C0BAECA902}"/>
    <cellStyle name="Normal 12 4 5 4" xfId="10606" xr:uid="{105ECD9F-6543-4131-A172-5F88D1CAC369}"/>
    <cellStyle name="Normal 12 4 6" xfId="2454" xr:uid="{00000000-0005-0000-0000-0000560E0000}"/>
    <cellStyle name="Normal 12 4 6 2" xfId="6737" xr:uid="{00000000-0005-0000-0000-0000570E0000}"/>
    <cellStyle name="Normal 12 4 6 2 2" xfId="15232" xr:uid="{B371847B-BF56-42D4-9CC8-925E0AED9A96}"/>
    <cellStyle name="Normal 12 4 6 3" xfId="11019" xr:uid="{E086B42B-E156-4F6C-BF9F-9FB8A2DBAE39}"/>
    <cellStyle name="Normal 12 4 7" xfId="4671" xr:uid="{00000000-0005-0000-0000-0000580E0000}"/>
    <cellStyle name="Normal 12 4 7 2" xfId="13167" xr:uid="{BABAD438-8AEB-49C1-918C-755B25E588C6}"/>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5718" xr:uid="{46C4A661-3B5B-43B1-9398-E1C24B30E2C2}"/>
    <cellStyle name="Normal 12 6 2 3" xfId="11505" xr:uid="{EF547886-2202-4B45-99E1-FC4371BD8B5F}"/>
    <cellStyle name="Normal 12 6 3" xfId="5078" xr:uid="{00000000-0005-0000-0000-00005D0E0000}"/>
    <cellStyle name="Normal 12 6 3 2" xfId="13573" xr:uid="{0A1DEF0B-5995-4C9C-B031-17D39029346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2 2 2" xfId="16131" xr:uid="{CA5AAAE2-7EF1-43F8-B193-42836191F039}"/>
    <cellStyle name="Normal 12 7 2 3" xfId="11918" xr:uid="{BDC96335-D7D1-40C9-AD62-672BE9BA64D0}"/>
    <cellStyle name="Normal 12 7 3" xfId="5491" xr:uid="{00000000-0005-0000-0000-0000610E0000}"/>
    <cellStyle name="Normal 12 7 3 2" xfId="13986" xr:uid="{E92DE357-A07B-413A-91E1-067BDDCF96B1}"/>
    <cellStyle name="Normal 12 7 4" xfId="9773" xr:uid="{5BBE5608-407F-4240-AE51-F8FC618A59AC}"/>
    <cellStyle name="Normal 12 8" xfId="1597" xr:uid="{00000000-0005-0000-0000-0000620E0000}"/>
    <cellStyle name="Normal 12 8 2" xfId="3827" xr:uid="{00000000-0005-0000-0000-0000630E0000}"/>
    <cellStyle name="Normal 12 8 2 2" xfId="8049" xr:uid="{00000000-0005-0000-0000-0000640E0000}"/>
    <cellStyle name="Normal 12 8 2 2 2" xfId="16544" xr:uid="{666E7EA6-67B8-4E3B-B52F-B34DCA241D08}"/>
    <cellStyle name="Normal 12 8 2 3" xfId="12331" xr:uid="{D38DA521-79EB-49A3-B230-E98A4A1BB5A4}"/>
    <cellStyle name="Normal 12 8 3" xfId="5904" xr:uid="{00000000-0005-0000-0000-0000650E0000}"/>
    <cellStyle name="Normal 12 8 3 2" xfId="14399" xr:uid="{FF5BEDEA-E578-4DC4-8CC4-E57199EC1B62}"/>
    <cellStyle name="Normal 12 8 4" xfId="10186" xr:uid="{3AE2EAD2-ECB7-45CA-886C-9CB56E32704D}"/>
    <cellStyle name="Normal 12 9" xfId="2011" xr:uid="{00000000-0005-0000-0000-0000660E0000}"/>
    <cellStyle name="Normal 12 9 2" xfId="4240" xr:uid="{00000000-0005-0000-0000-0000670E0000}"/>
    <cellStyle name="Normal 12 9 2 2" xfId="8462" xr:uid="{00000000-0005-0000-0000-0000680E0000}"/>
    <cellStyle name="Normal 12 9 2 2 2" xfId="16957" xr:uid="{59CD2CC8-3E11-41EF-81EA-8A9DB015ECFA}"/>
    <cellStyle name="Normal 12 9 2 3" xfId="12744" xr:uid="{9B6A7A97-0192-459B-91B6-A517916DA1BD}"/>
    <cellStyle name="Normal 12 9 3" xfId="6317" xr:uid="{00000000-0005-0000-0000-0000690E0000}"/>
    <cellStyle name="Normal 12 9 3 2" xfId="14812" xr:uid="{22A8F9B5-12CB-4747-BA22-DD7BDF589A4B}"/>
    <cellStyle name="Normal 12 9 4" xfId="10599" xr:uid="{DBD51188-A34D-4793-A776-45792256BE7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726" xr:uid="{64CB45C7-8D41-467F-8DB6-4B936A98F646}"/>
    <cellStyle name="Normal 14 2 2 3" xfId="11513" xr:uid="{01F65307-23B7-481F-8809-3662560F8864}"/>
    <cellStyle name="Normal 14 2 3" xfId="5086" xr:uid="{00000000-0005-0000-0000-0000700E0000}"/>
    <cellStyle name="Normal 14 2 3 2" xfId="13581" xr:uid="{5A33D56D-F577-463E-94AF-98E49A2BBDC7}"/>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2 2 2" xfId="16139" xr:uid="{21E23B97-73AC-432F-8FD6-5D3F8128CBD5}"/>
    <cellStyle name="Normal 14 3 2 3" xfId="11926" xr:uid="{D1574D14-DB0F-416D-9D95-1156ABA88548}"/>
    <cellStyle name="Normal 14 3 3" xfId="5499" xr:uid="{00000000-0005-0000-0000-0000740E0000}"/>
    <cellStyle name="Normal 14 3 3 2" xfId="13994" xr:uid="{3C16B1BB-BE72-4A28-80F3-6069326FD778}"/>
    <cellStyle name="Normal 14 3 4" xfId="9781" xr:uid="{4DD7188A-BCCF-4D3F-AE99-59B7E5C9D1E6}"/>
    <cellStyle name="Normal 14 4" xfId="1605" xr:uid="{00000000-0005-0000-0000-0000750E0000}"/>
    <cellStyle name="Normal 14 4 2" xfId="3835" xr:uid="{00000000-0005-0000-0000-0000760E0000}"/>
    <cellStyle name="Normal 14 4 2 2" xfId="8057" xr:uid="{00000000-0005-0000-0000-0000770E0000}"/>
    <cellStyle name="Normal 14 4 2 2 2" xfId="16552" xr:uid="{7A2ABD0D-4F52-40F3-8759-D4B2A0B6205D}"/>
    <cellStyle name="Normal 14 4 2 3" xfId="12339" xr:uid="{011D261F-8DB5-477A-B380-CAC69118BE86}"/>
    <cellStyle name="Normal 14 4 3" xfId="5912" xr:uid="{00000000-0005-0000-0000-0000780E0000}"/>
    <cellStyle name="Normal 14 4 3 2" xfId="14407" xr:uid="{8AEDCEA2-E17F-4FCF-9C66-C23BAE158E60}"/>
    <cellStyle name="Normal 14 4 4" xfId="10194" xr:uid="{3F573C2D-C442-4981-9CCB-63CD416B5D96}"/>
    <cellStyle name="Normal 14 5" xfId="2019" xr:uid="{00000000-0005-0000-0000-0000790E0000}"/>
    <cellStyle name="Normal 14 5 2" xfId="4248" xr:uid="{00000000-0005-0000-0000-00007A0E0000}"/>
    <cellStyle name="Normal 14 5 2 2" xfId="8470" xr:uid="{00000000-0005-0000-0000-00007B0E0000}"/>
    <cellStyle name="Normal 14 5 2 2 2" xfId="16965" xr:uid="{CC65FEF7-F1B0-4ED5-9746-BFFF36ED6423}"/>
    <cellStyle name="Normal 14 5 2 3" xfId="12752" xr:uid="{1239C516-31C9-42B5-A0BA-FE776E189114}"/>
    <cellStyle name="Normal 14 5 3" xfId="6325" xr:uid="{00000000-0005-0000-0000-00007C0E0000}"/>
    <cellStyle name="Normal 14 5 3 2" xfId="14820" xr:uid="{D165E973-EF79-4303-A683-7027FCF993FB}"/>
    <cellStyle name="Normal 14 5 4" xfId="10607" xr:uid="{39C17EB5-3D61-4A7D-8BA3-AAF29ED763FF}"/>
    <cellStyle name="Normal 14 6" xfId="2455" xr:uid="{00000000-0005-0000-0000-00007D0E0000}"/>
    <cellStyle name="Normal 14 6 2" xfId="6738" xr:uid="{00000000-0005-0000-0000-00007E0E0000}"/>
    <cellStyle name="Normal 14 6 2 2" xfId="15233" xr:uid="{BB7DE27B-6897-47E8-8BDD-914CB04F1315}"/>
    <cellStyle name="Normal 14 6 3" xfId="11020" xr:uid="{09819546-708D-4698-A3F8-0763EB48D5B7}"/>
    <cellStyle name="Normal 14 7" xfId="4672" xr:uid="{00000000-0005-0000-0000-00007F0E0000}"/>
    <cellStyle name="Normal 14 7 2" xfId="13168" xr:uid="{7D9EF867-2F91-48D0-BB92-286BEEEE4C27}"/>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2 2" xfId="17210" xr:uid="{1FFB7B19-7841-43A2-94B8-C98F116842CC}"/>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7229" xr:uid="{574EDD3A-906E-4F0B-B196-81A06BCD27E2}"/>
    <cellStyle name="Normal 16 3 2 2 2 2 3" xfId="17226" xr:uid="{BD87CAF6-7938-4073-9F42-621422BFECEF}"/>
    <cellStyle name="Normal 16 3 2 2 2 3" xfId="17223" xr:uid="{D3160BC9-1DD1-4F31-AEAA-6A1FE8AAEB06}"/>
    <cellStyle name="Normal 16 3 2 2 3" xfId="17219" xr:uid="{4C6BA533-1C69-4472-A3B2-2AE434197777}"/>
    <cellStyle name="Normal 16 3 2 3" xfId="17216" xr:uid="{D76F8464-E068-4B66-9AF6-0E16872F347E}"/>
    <cellStyle name="Normal 16 3 3" xfId="17213" xr:uid="{BBB268A6-A3B6-40C3-81E2-F7FCB79B519C}"/>
    <cellStyle name="Normal 16 4" xfId="9612" xr:uid="{8729F6E8-3534-4DAE-B0B2-B2AF3CDCD313}"/>
    <cellStyle name="Normal 16 5" xfId="12997" xr:uid="{4E487555-A915-4580-9CB9-49C3BB22290F}"/>
    <cellStyle name="Normal 17" xfId="8728" xr:uid="{3FF0972C-833B-4475-99D8-1A6907499E71}"/>
    <cellStyle name="Normal 17 2" xfId="9157" xr:uid="{6C872296-5E17-4821-9139-E52AD113B06C}"/>
    <cellStyle name="Normal 17 3" xfId="9154" xr:uid="{DC3FF210-EC1F-47CE-8CCE-F8F5460671B1}"/>
    <cellStyle name="Normal 17 4" xfId="17222" xr:uid="{E4894F30-6C28-44DB-A9B8-124826B6ABF2}"/>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66" xr:uid="{BFED02D5-2117-4967-8B5C-DA17F205066B}"/>
    <cellStyle name="Normal 2 4 2 10 2 3" xfId="12753" xr:uid="{8AF86911-A6B4-4E89-B4BE-EC7E5755F123}"/>
    <cellStyle name="Normal 2 4 2 10 3" xfId="6326" xr:uid="{00000000-0005-0000-0000-0000910E0000}"/>
    <cellStyle name="Normal 2 4 2 10 3 2" xfId="14821" xr:uid="{15D80897-D558-4394-BD64-40C968D76FD7}"/>
    <cellStyle name="Normal 2 4 2 10 4" xfId="10608" xr:uid="{6BDFAAA3-53A1-49A7-8599-ECDD8D5ECCB0}"/>
    <cellStyle name="Normal 2 4 2 11" xfId="2456" xr:uid="{00000000-0005-0000-0000-0000920E0000}"/>
    <cellStyle name="Normal 2 4 2 11 2" xfId="6739" xr:uid="{00000000-0005-0000-0000-0000930E0000}"/>
    <cellStyle name="Normal 2 4 2 11 2 2" xfId="15234" xr:uid="{851EB468-A122-45AB-A525-524777AAAB57}"/>
    <cellStyle name="Normal 2 4 2 11 3" xfId="11021" xr:uid="{56F27420-171F-4DC5-BF75-6706DA2FD4D0}"/>
    <cellStyle name="Normal 2 4 2 12" xfId="4673" xr:uid="{00000000-0005-0000-0000-0000940E0000}"/>
    <cellStyle name="Normal 2 4 2 12 2" xfId="13169" xr:uid="{956FDDAC-4584-4761-A6BF-A16EC78546B1}"/>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0 2" xfId="13170" xr:uid="{833DBA3C-AF8E-4A68-8E18-496B2D46DF36}"/>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731" xr:uid="{CF07127A-8EE8-4705-BD14-15FCBF6A4A43}"/>
    <cellStyle name="Normal 2 4 2 3 2 2 2 2 2 3" xfId="11518" xr:uid="{785992AF-3DD7-416D-9162-C72A9E99CA3C}"/>
    <cellStyle name="Normal 2 4 2 3 2 2 2 2 3" xfId="5091" xr:uid="{00000000-0005-0000-0000-00009E0E0000}"/>
    <cellStyle name="Normal 2 4 2 3 2 2 2 2 3 2" xfId="13586" xr:uid="{F44E5A98-9D7B-4531-A705-148673C434A6}"/>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144" xr:uid="{C5BF7121-DDBB-43C1-A951-C14A0B8EE6B0}"/>
    <cellStyle name="Normal 2 4 2 3 2 2 2 3 2 3" xfId="11931" xr:uid="{482FF27C-1315-4475-80DC-F4A7B6425D23}"/>
    <cellStyle name="Normal 2 4 2 3 2 2 2 3 3" xfId="5504" xr:uid="{00000000-0005-0000-0000-0000A20E0000}"/>
    <cellStyle name="Normal 2 4 2 3 2 2 2 3 3 2" xfId="13999" xr:uid="{8756375F-E446-4EC5-9DAE-1F9D402DEBB7}"/>
    <cellStyle name="Normal 2 4 2 3 2 2 2 3 4" xfId="9786" xr:uid="{6B894D23-C5BE-4CA2-952B-F9C06F409BA7}"/>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57" xr:uid="{0DF65F4F-7E78-4BCD-A004-227A15848A3A}"/>
    <cellStyle name="Normal 2 4 2 3 2 2 2 4 2 3" xfId="12344" xr:uid="{3D8053CD-17FB-4FD6-BF91-AB1882F6FBA5}"/>
    <cellStyle name="Normal 2 4 2 3 2 2 2 4 3" xfId="5917" xr:uid="{00000000-0005-0000-0000-0000A60E0000}"/>
    <cellStyle name="Normal 2 4 2 3 2 2 2 4 3 2" xfId="14412" xr:uid="{744F7884-D0F0-4A27-84E2-9C4905F3226D}"/>
    <cellStyle name="Normal 2 4 2 3 2 2 2 4 4" xfId="10199" xr:uid="{1C28FA53-569F-4851-A57C-D3BA21BC1315}"/>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70" xr:uid="{FF08AFB5-1B44-4344-8179-1B8FEFF1B3BB}"/>
    <cellStyle name="Normal 2 4 2 3 2 2 2 5 2 3" xfId="12757" xr:uid="{0A7E203D-C721-4845-A9C0-4488E437569F}"/>
    <cellStyle name="Normal 2 4 2 3 2 2 2 5 3" xfId="6330" xr:uid="{00000000-0005-0000-0000-0000AA0E0000}"/>
    <cellStyle name="Normal 2 4 2 3 2 2 2 5 3 2" xfId="14825" xr:uid="{E6CDFD70-41DE-474D-85C7-9E74EE5BCECA}"/>
    <cellStyle name="Normal 2 4 2 3 2 2 2 5 4" xfId="10612" xr:uid="{BDB99B44-9604-4B64-85AC-160EE6652188}"/>
    <cellStyle name="Normal 2 4 2 3 2 2 2 6" xfId="2460" xr:uid="{00000000-0005-0000-0000-0000AB0E0000}"/>
    <cellStyle name="Normal 2 4 2 3 2 2 2 6 2" xfId="6743" xr:uid="{00000000-0005-0000-0000-0000AC0E0000}"/>
    <cellStyle name="Normal 2 4 2 3 2 2 2 6 2 2" xfId="15238" xr:uid="{894EBB05-0AC4-4619-B066-988828D0AB8B}"/>
    <cellStyle name="Normal 2 4 2 3 2 2 2 6 3" xfId="11025" xr:uid="{CF10B3FE-EDBC-4130-8F31-D273096C585E}"/>
    <cellStyle name="Normal 2 4 2 3 2 2 2 7" xfId="4677" xr:uid="{00000000-0005-0000-0000-0000AD0E0000}"/>
    <cellStyle name="Normal 2 4 2 3 2 2 2 7 2" xfId="13173" xr:uid="{5236B4F6-11D8-44DD-80EB-E7AA9023D39D}"/>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730" xr:uid="{CDB93018-EE2E-4695-859F-0CEBAC7D3404}"/>
    <cellStyle name="Normal 2 4 2 3 2 2 3 2 3" xfId="11517" xr:uid="{02DFE890-B53E-4C0F-8AFC-771677E22E5B}"/>
    <cellStyle name="Normal 2 4 2 3 2 2 3 3" xfId="5090" xr:uid="{00000000-0005-0000-0000-0000B10E0000}"/>
    <cellStyle name="Normal 2 4 2 3 2 2 3 3 2" xfId="13585" xr:uid="{85C9A3F0-D36F-487E-BDC2-F5D0FA8B20D9}"/>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143" xr:uid="{C6276C23-2A3C-4288-B7CB-C3E878320DE0}"/>
    <cellStyle name="Normal 2 4 2 3 2 2 4 2 3" xfId="11930" xr:uid="{FC8EECE2-FA13-4B9F-A4E5-D91397DDF3CE}"/>
    <cellStyle name="Normal 2 4 2 3 2 2 4 3" xfId="5503" xr:uid="{00000000-0005-0000-0000-0000B50E0000}"/>
    <cellStyle name="Normal 2 4 2 3 2 2 4 3 2" xfId="13998" xr:uid="{CF2F0C67-8175-4D5B-B86A-25D88F4F356C}"/>
    <cellStyle name="Normal 2 4 2 3 2 2 4 4" xfId="9785" xr:uid="{EF1A1066-72FF-4349-8EBC-29A78A55638D}"/>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56" xr:uid="{77D3B7F9-1FA4-4B06-B257-8BA9FBE7D223}"/>
    <cellStyle name="Normal 2 4 2 3 2 2 5 2 3" xfId="12343" xr:uid="{F3815A21-C30B-4A3F-B727-C3FB2427098E}"/>
    <cellStyle name="Normal 2 4 2 3 2 2 5 3" xfId="5916" xr:uid="{00000000-0005-0000-0000-0000B90E0000}"/>
    <cellStyle name="Normal 2 4 2 3 2 2 5 3 2" xfId="14411" xr:uid="{BB7E567A-6416-4360-9144-3BEE6DA72A59}"/>
    <cellStyle name="Normal 2 4 2 3 2 2 5 4" xfId="10198" xr:uid="{6C620B39-B88C-4D16-848C-A4D8AB074DE9}"/>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69" xr:uid="{F3EB51AD-6E02-4124-A698-226480B73E1F}"/>
    <cellStyle name="Normal 2 4 2 3 2 2 6 2 3" xfId="12756" xr:uid="{13273F20-3AAD-491E-9216-92FD00D515B4}"/>
    <cellStyle name="Normal 2 4 2 3 2 2 6 3" xfId="6329" xr:uid="{00000000-0005-0000-0000-0000BD0E0000}"/>
    <cellStyle name="Normal 2 4 2 3 2 2 6 3 2" xfId="14824" xr:uid="{68F56AD4-3DE9-4B61-9918-5DF369306E17}"/>
    <cellStyle name="Normal 2 4 2 3 2 2 6 4" xfId="10611" xr:uid="{3F752159-4F46-4AC9-A7DF-787AEF354133}"/>
    <cellStyle name="Normal 2 4 2 3 2 2 7" xfId="2459" xr:uid="{00000000-0005-0000-0000-0000BE0E0000}"/>
    <cellStyle name="Normal 2 4 2 3 2 2 7 2" xfId="6742" xr:uid="{00000000-0005-0000-0000-0000BF0E0000}"/>
    <cellStyle name="Normal 2 4 2 3 2 2 7 2 2" xfId="15237" xr:uid="{E55676BE-B626-4C77-9385-EB502A94419A}"/>
    <cellStyle name="Normal 2 4 2 3 2 2 7 3" xfId="11024" xr:uid="{8FAF3E2D-070D-43A1-BC28-B59E07EE120A}"/>
    <cellStyle name="Normal 2 4 2 3 2 2 8" xfId="4676" xr:uid="{00000000-0005-0000-0000-0000C00E0000}"/>
    <cellStyle name="Normal 2 4 2 3 2 2 8 2" xfId="13172" xr:uid="{BB70B836-4F15-427C-B52C-FF2405206678}"/>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732" xr:uid="{49B56D28-326E-4514-B8C1-BC99E69C48DC}"/>
    <cellStyle name="Normal 2 4 2 3 2 3 2 2 3" xfId="11519" xr:uid="{6E783C35-332D-4D98-833A-589278DC5070}"/>
    <cellStyle name="Normal 2 4 2 3 2 3 2 3" xfId="5092" xr:uid="{00000000-0005-0000-0000-0000C50E0000}"/>
    <cellStyle name="Normal 2 4 2 3 2 3 2 3 2" xfId="13587" xr:uid="{7674B1DF-358C-42DF-BDB7-EC2571218A1F}"/>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45" xr:uid="{295C47E4-7B92-405F-A46C-DD86704EE48D}"/>
    <cellStyle name="Normal 2 4 2 3 2 3 3 2 3" xfId="11932" xr:uid="{B917B602-CAFF-4F5F-800F-ACCA2CC2E2BC}"/>
    <cellStyle name="Normal 2 4 2 3 2 3 3 3" xfId="5505" xr:uid="{00000000-0005-0000-0000-0000C90E0000}"/>
    <cellStyle name="Normal 2 4 2 3 2 3 3 3 2" xfId="14000" xr:uid="{E1120089-5C5B-499F-ABDB-C1B6A4F297E2}"/>
    <cellStyle name="Normal 2 4 2 3 2 3 3 4" xfId="9787" xr:uid="{AD9A76CD-7B77-4FEE-8F1E-206CC12886FF}"/>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58" xr:uid="{E0567529-3E40-4F12-B5FA-D09136F5D127}"/>
    <cellStyle name="Normal 2 4 2 3 2 3 4 2 3" xfId="12345" xr:uid="{CACD6023-9747-46E7-A47F-00D84E996083}"/>
    <cellStyle name="Normal 2 4 2 3 2 3 4 3" xfId="5918" xr:uid="{00000000-0005-0000-0000-0000CD0E0000}"/>
    <cellStyle name="Normal 2 4 2 3 2 3 4 3 2" xfId="14413" xr:uid="{F1971590-819A-4EE7-91CA-7FB549DF70A9}"/>
    <cellStyle name="Normal 2 4 2 3 2 3 4 4" xfId="10200" xr:uid="{E843ED22-40E4-49A7-A731-5864559FCD89}"/>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71" xr:uid="{0E628997-C398-4337-8575-B63F77CCAA48}"/>
    <cellStyle name="Normal 2 4 2 3 2 3 5 2 3" xfId="12758" xr:uid="{EB55A081-E17B-4BFA-BFC8-0D7A9AD88F7E}"/>
    <cellStyle name="Normal 2 4 2 3 2 3 5 3" xfId="6331" xr:uid="{00000000-0005-0000-0000-0000D10E0000}"/>
    <cellStyle name="Normal 2 4 2 3 2 3 5 3 2" xfId="14826" xr:uid="{26A1378E-8684-43C9-A52F-AAF820E20E3B}"/>
    <cellStyle name="Normal 2 4 2 3 2 3 5 4" xfId="10613" xr:uid="{1D212344-C522-4DFC-871C-8BA302F27258}"/>
    <cellStyle name="Normal 2 4 2 3 2 3 6" xfId="2461" xr:uid="{00000000-0005-0000-0000-0000D20E0000}"/>
    <cellStyle name="Normal 2 4 2 3 2 3 6 2" xfId="6744" xr:uid="{00000000-0005-0000-0000-0000D30E0000}"/>
    <cellStyle name="Normal 2 4 2 3 2 3 6 2 2" xfId="15239" xr:uid="{E79E6CE5-C36F-4112-B589-097E440FCA7E}"/>
    <cellStyle name="Normal 2 4 2 3 2 3 6 3" xfId="11026" xr:uid="{87CEC91A-414F-444B-A15C-D2724703B87E}"/>
    <cellStyle name="Normal 2 4 2 3 2 3 7" xfId="4678" xr:uid="{00000000-0005-0000-0000-0000D40E0000}"/>
    <cellStyle name="Normal 2 4 2 3 2 3 7 2" xfId="13174" xr:uid="{3FFDB785-DB89-45CA-BE13-E2D7050AED28}"/>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729" xr:uid="{1B8B5F89-98B1-4501-8FB7-268AFE1EC85D}"/>
    <cellStyle name="Normal 2 4 2 3 2 4 2 3" xfId="11516" xr:uid="{F2CA6F78-8090-413D-9CB8-28BB8B8CC50F}"/>
    <cellStyle name="Normal 2 4 2 3 2 4 3" xfId="5089" xr:uid="{00000000-0005-0000-0000-0000D80E0000}"/>
    <cellStyle name="Normal 2 4 2 3 2 4 3 2" xfId="13584" xr:uid="{ACEB9F88-1112-4038-9139-C6643EE602D8}"/>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142" xr:uid="{67626B6C-0C89-4181-9C6C-2414FC8920DA}"/>
    <cellStyle name="Normal 2 4 2 3 2 5 2 3" xfId="11929" xr:uid="{FD5B4B5C-45AA-4269-A258-0FE89D9CA1EB}"/>
    <cellStyle name="Normal 2 4 2 3 2 5 3" xfId="5502" xr:uid="{00000000-0005-0000-0000-0000DC0E0000}"/>
    <cellStyle name="Normal 2 4 2 3 2 5 3 2" xfId="13997" xr:uid="{76547EDD-F2FC-4572-AEE7-FC69373EAA34}"/>
    <cellStyle name="Normal 2 4 2 3 2 5 4" xfId="9784" xr:uid="{FD2DEB3B-7B89-42A6-B591-A612B2CC0E9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55" xr:uid="{D374A562-FFD0-42C8-9FED-11184F38F4D3}"/>
    <cellStyle name="Normal 2 4 2 3 2 6 2 3" xfId="12342" xr:uid="{30BBA62B-A53A-49E6-8DAC-08B677F2DDC5}"/>
    <cellStyle name="Normal 2 4 2 3 2 6 3" xfId="5915" xr:uid="{00000000-0005-0000-0000-0000E00E0000}"/>
    <cellStyle name="Normal 2 4 2 3 2 6 3 2" xfId="14410" xr:uid="{5AD478C4-70BD-440C-9B9D-FC02F0766A01}"/>
    <cellStyle name="Normal 2 4 2 3 2 6 4" xfId="10197" xr:uid="{1FBC09D9-5F37-4C6C-8751-62F9FF7E47CC}"/>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68" xr:uid="{8DE23B46-A476-4E81-8219-85EAA8312FEB}"/>
    <cellStyle name="Normal 2 4 2 3 2 7 2 3" xfId="12755" xr:uid="{9D890727-E718-4227-8E79-8D1EAD6ADB8B}"/>
    <cellStyle name="Normal 2 4 2 3 2 7 3" xfId="6328" xr:uid="{00000000-0005-0000-0000-0000E40E0000}"/>
    <cellStyle name="Normal 2 4 2 3 2 7 3 2" xfId="14823" xr:uid="{7CF4DDD0-81DD-44B1-90E9-1EC643CBA68D}"/>
    <cellStyle name="Normal 2 4 2 3 2 7 4" xfId="10610" xr:uid="{D849BB0B-8638-41A2-99EA-506FC325BEED}"/>
    <cellStyle name="Normal 2 4 2 3 2 8" xfId="2458" xr:uid="{00000000-0005-0000-0000-0000E50E0000}"/>
    <cellStyle name="Normal 2 4 2 3 2 8 2" xfId="6741" xr:uid="{00000000-0005-0000-0000-0000E60E0000}"/>
    <cellStyle name="Normal 2 4 2 3 2 8 2 2" xfId="15236" xr:uid="{31EEF7BA-9D5A-48CC-AF58-75BF8E055B72}"/>
    <cellStyle name="Normal 2 4 2 3 2 8 3" xfId="11023" xr:uid="{349C6815-0977-47EE-8230-DFD967982285}"/>
    <cellStyle name="Normal 2 4 2 3 2 9" xfId="4675" xr:uid="{00000000-0005-0000-0000-0000E70E0000}"/>
    <cellStyle name="Normal 2 4 2 3 2 9 2" xfId="13171" xr:uid="{07ACD25D-53AC-4F4D-A45B-71E2332EA6D5}"/>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734" xr:uid="{B4900051-A9BC-43E7-AF6A-C4EE61B3BD90}"/>
    <cellStyle name="Normal 2 4 2 3 3 2 2 2 3" xfId="11521" xr:uid="{E0BE49F4-0919-402C-A219-0AA85530E748}"/>
    <cellStyle name="Normal 2 4 2 3 3 2 2 3" xfId="5094" xr:uid="{00000000-0005-0000-0000-0000ED0E0000}"/>
    <cellStyle name="Normal 2 4 2 3 3 2 2 3 2" xfId="13589" xr:uid="{37E97FD3-CE56-437E-B5DE-84399CE7A246}"/>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47" xr:uid="{7D1DBA3B-7637-4ABC-8ACC-C50983A21C86}"/>
    <cellStyle name="Normal 2 4 2 3 3 2 3 2 3" xfId="11934" xr:uid="{1CDF23B0-0657-4462-B5A1-BEB678ABDA7E}"/>
    <cellStyle name="Normal 2 4 2 3 3 2 3 3" xfId="5507" xr:uid="{00000000-0005-0000-0000-0000F10E0000}"/>
    <cellStyle name="Normal 2 4 2 3 3 2 3 3 2" xfId="14002" xr:uid="{6BF0F54C-AD7B-4E8F-9B14-08C050CF35D3}"/>
    <cellStyle name="Normal 2 4 2 3 3 2 3 4" xfId="9789" xr:uid="{AD890541-0047-4B58-B418-BEE190728253}"/>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60" xr:uid="{E3068D4D-25FC-4071-8251-CD95A0DCAAE0}"/>
    <cellStyle name="Normal 2 4 2 3 3 2 4 2 3" xfId="12347" xr:uid="{37C28819-8702-4A8B-9C8A-A2427CAA600E}"/>
    <cellStyle name="Normal 2 4 2 3 3 2 4 3" xfId="5920" xr:uid="{00000000-0005-0000-0000-0000F50E0000}"/>
    <cellStyle name="Normal 2 4 2 3 3 2 4 3 2" xfId="14415" xr:uid="{EC525CA6-3D21-45C4-B1D1-2CD346FBA14C}"/>
    <cellStyle name="Normal 2 4 2 3 3 2 4 4" xfId="10202" xr:uid="{8C7653B9-B0D2-4377-9784-C8490BC9AC0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73" xr:uid="{36DBAABB-2AC8-4AEF-9ED9-6C3B49C36FC6}"/>
    <cellStyle name="Normal 2 4 2 3 3 2 5 2 3" xfId="12760" xr:uid="{2C224B5F-5628-440D-A83B-76B028A94464}"/>
    <cellStyle name="Normal 2 4 2 3 3 2 5 3" xfId="6333" xr:uid="{00000000-0005-0000-0000-0000F90E0000}"/>
    <cellStyle name="Normal 2 4 2 3 3 2 5 3 2" xfId="14828" xr:uid="{04330DBF-9301-4EC2-87BB-10548CB1AAB8}"/>
    <cellStyle name="Normal 2 4 2 3 3 2 5 4" xfId="10615" xr:uid="{EA08276E-B43C-4E58-B39F-2C8525DD330A}"/>
    <cellStyle name="Normal 2 4 2 3 3 2 6" xfId="2463" xr:uid="{00000000-0005-0000-0000-0000FA0E0000}"/>
    <cellStyle name="Normal 2 4 2 3 3 2 6 2" xfId="6746" xr:uid="{00000000-0005-0000-0000-0000FB0E0000}"/>
    <cellStyle name="Normal 2 4 2 3 3 2 6 2 2" xfId="15241" xr:uid="{E38B624B-96D0-4CCB-B6BA-3EE615009B1E}"/>
    <cellStyle name="Normal 2 4 2 3 3 2 6 3" xfId="11028" xr:uid="{9637F9A2-BCD3-4320-979C-712181CD436D}"/>
    <cellStyle name="Normal 2 4 2 3 3 2 7" xfId="4680" xr:uid="{00000000-0005-0000-0000-0000FC0E0000}"/>
    <cellStyle name="Normal 2 4 2 3 3 2 7 2" xfId="13176" xr:uid="{ED6881E5-B55A-4B14-A46E-74C02A7D25C9}"/>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733" xr:uid="{454CA1CF-92DE-4600-9042-C134C2CEEF23}"/>
    <cellStyle name="Normal 2 4 2 3 3 3 2 3" xfId="11520" xr:uid="{EBCC1DC0-1433-4684-84F0-89FA30726783}"/>
    <cellStyle name="Normal 2 4 2 3 3 3 3" xfId="5093" xr:uid="{00000000-0005-0000-0000-0000000F0000}"/>
    <cellStyle name="Normal 2 4 2 3 3 3 3 2" xfId="13588" xr:uid="{11A0DB04-5A48-4087-9435-122A6592A794}"/>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46" xr:uid="{30989BF8-D3DF-47E5-90B0-812E5EB6A1F1}"/>
    <cellStyle name="Normal 2 4 2 3 3 4 2 3" xfId="11933" xr:uid="{CB2AB25B-AD0B-411C-8831-A6060C4808E7}"/>
    <cellStyle name="Normal 2 4 2 3 3 4 3" xfId="5506" xr:uid="{00000000-0005-0000-0000-0000040F0000}"/>
    <cellStyle name="Normal 2 4 2 3 3 4 3 2" xfId="14001" xr:uid="{7D07A0E1-FB34-43ED-BEF1-8A653685E14C}"/>
    <cellStyle name="Normal 2 4 2 3 3 4 4" xfId="9788" xr:uid="{7C2CF1DA-C1F3-4981-92EE-DA269D1CDB1A}"/>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59" xr:uid="{DF4A260F-F295-4FAF-ACB7-3857360BBF16}"/>
    <cellStyle name="Normal 2 4 2 3 3 5 2 3" xfId="12346" xr:uid="{47A887E1-150B-4AF5-AC0E-2B00109FA5D3}"/>
    <cellStyle name="Normal 2 4 2 3 3 5 3" xfId="5919" xr:uid="{00000000-0005-0000-0000-0000080F0000}"/>
    <cellStyle name="Normal 2 4 2 3 3 5 3 2" xfId="14414" xr:uid="{FAC8666A-73CC-41E1-A14C-10B088780DC9}"/>
    <cellStyle name="Normal 2 4 2 3 3 5 4" xfId="10201" xr:uid="{21801158-AA1D-46A0-9B58-0ACEF518CCB5}"/>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72" xr:uid="{9A9850B1-8686-4252-9AC2-2C71CDC37798}"/>
    <cellStyle name="Normal 2 4 2 3 3 6 2 3" xfId="12759" xr:uid="{28429CF6-E152-4D53-8BD3-2D7D3B2858BD}"/>
    <cellStyle name="Normal 2 4 2 3 3 6 3" xfId="6332" xr:uid="{00000000-0005-0000-0000-00000C0F0000}"/>
    <cellStyle name="Normal 2 4 2 3 3 6 3 2" xfId="14827" xr:uid="{69F8972B-B887-4048-9F64-2B9615B6A4D1}"/>
    <cellStyle name="Normal 2 4 2 3 3 6 4" xfId="10614" xr:uid="{ADE89509-F241-49FE-B338-0A66B9F01031}"/>
    <cellStyle name="Normal 2 4 2 3 3 7" xfId="2462" xr:uid="{00000000-0005-0000-0000-00000D0F0000}"/>
    <cellStyle name="Normal 2 4 2 3 3 7 2" xfId="6745" xr:uid="{00000000-0005-0000-0000-00000E0F0000}"/>
    <cellStyle name="Normal 2 4 2 3 3 7 2 2" xfId="15240" xr:uid="{136806D0-4728-4355-93C2-B52E74A2C0B7}"/>
    <cellStyle name="Normal 2 4 2 3 3 7 3" xfId="11027" xr:uid="{E6030EDF-2F50-4784-BC9A-C108C4EE3BAC}"/>
    <cellStyle name="Normal 2 4 2 3 3 8" xfId="4679" xr:uid="{00000000-0005-0000-0000-00000F0F0000}"/>
    <cellStyle name="Normal 2 4 2 3 3 8 2" xfId="13175" xr:uid="{144B8335-37D9-434B-A557-814CDBF6E342}"/>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735" xr:uid="{BEB47DBF-A8BA-4B01-9EB8-531E780CB936}"/>
    <cellStyle name="Normal 2 4 2 3 4 2 2 3" xfId="11522" xr:uid="{C4CA2801-98D9-4DB2-A2D2-3E9312BC49A4}"/>
    <cellStyle name="Normal 2 4 2 3 4 2 3" xfId="5095" xr:uid="{00000000-0005-0000-0000-0000140F0000}"/>
    <cellStyle name="Normal 2 4 2 3 4 2 3 2" xfId="13590" xr:uid="{E2626F00-84F5-49B2-A7DD-23B2C60E0932}"/>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48" xr:uid="{20533ED3-DFDD-4665-B00C-0D9D38086A3E}"/>
    <cellStyle name="Normal 2 4 2 3 4 3 2 3" xfId="11935" xr:uid="{79409FCC-E3F8-42D4-8C5C-73440EC6260F}"/>
    <cellStyle name="Normal 2 4 2 3 4 3 3" xfId="5508" xr:uid="{00000000-0005-0000-0000-0000180F0000}"/>
    <cellStyle name="Normal 2 4 2 3 4 3 3 2" xfId="14003" xr:uid="{0CA2A2AA-2B01-4493-A4E0-48554CB4F6EE}"/>
    <cellStyle name="Normal 2 4 2 3 4 3 4" xfId="9790" xr:uid="{59D18E70-EEF3-43AD-9EAF-FE0E3630A717}"/>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61" xr:uid="{40756F53-9D4F-4679-9DBA-9D040AB93BC8}"/>
    <cellStyle name="Normal 2 4 2 3 4 4 2 3" xfId="12348" xr:uid="{FED43629-6D82-47BC-A536-48F6BD63841A}"/>
    <cellStyle name="Normal 2 4 2 3 4 4 3" xfId="5921" xr:uid="{00000000-0005-0000-0000-00001C0F0000}"/>
    <cellStyle name="Normal 2 4 2 3 4 4 3 2" xfId="14416" xr:uid="{A4613F96-BA36-4C1C-8281-17034F2DB2D9}"/>
    <cellStyle name="Normal 2 4 2 3 4 4 4" xfId="10203" xr:uid="{F4AAC1C4-F238-4C0E-90BB-C284E272C123}"/>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74" xr:uid="{91D6F177-5D1B-4407-B644-6F1CA6A07B47}"/>
    <cellStyle name="Normal 2 4 2 3 4 5 2 3" xfId="12761" xr:uid="{202DFCF9-20DB-4081-A3BC-2B6C04B34A6C}"/>
    <cellStyle name="Normal 2 4 2 3 4 5 3" xfId="6334" xr:uid="{00000000-0005-0000-0000-0000200F0000}"/>
    <cellStyle name="Normal 2 4 2 3 4 5 3 2" xfId="14829" xr:uid="{F669EF43-D557-4F97-B058-D2FA90926248}"/>
    <cellStyle name="Normal 2 4 2 3 4 5 4" xfId="10616" xr:uid="{BDC2F09C-2F60-484F-B6AB-A372D076AB69}"/>
    <cellStyle name="Normal 2 4 2 3 4 6" xfId="2464" xr:uid="{00000000-0005-0000-0000-0000210F0000}"/>
    <cellStyle name="Normal 2 4 2 3 4 6 2" xfId="6747" xr:uid="{00000000-0005-0000-0000-0000220F0000}"/>
    <cellStyle name="Normal 2 4 2 3 4 6 2 2" xfId="15242" xr:uid="{C59C7499-E473-4C29-8324-B385C32D3627}"/>
    <cellStyle name="Normal 2 4 2 3 4 6 3" xfId="11029" xr:uid="{9C21BCC1-E0C1-4C6E-868F-FD4EBE12282A}"/>
    <cellStyle name="Normal 2 4 2 3 4 7" xfId="4681" xr:uid="{00000000-0005-0000-0000-0000230F0000}"/>
    <cellStyle name="Normal 2 4 2 3 4 7 2" xfId="13177" xr:uid="{51189C36-A31A-4DD9-AC39-8325D149792E}"/>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728" xr:uid="{7D604550-276B-4FB2-87F7-B0CBEF561CCB}"/>
    <cellStyle name="Normal 2 4 2 3 5 2 3" xfId="11515" xr:uid="{E51370A1-17B3-46F6-B400-46B5F17A04C4}"/>
    <cellStyle name="Normal 2 4 2 3 5 3" xfId="5088" xr:uid="{00000000-0005-0000-0000-0000270F0000}"/>
    <cellStyle name="Normal 2 4 2 3 5 3 2" xfId="13583" xr:uid="{DB6E32DB-5491-4020-BE2C-4AF64A87F025}"/>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141" xr:uid="{918A2F5B-EABF-459A-B32D-9B4CA9C4C6A9}"/>
    <cellStyle name="Normal 2 4 2 3 6 2 3" xfId="11928" xr:uid="{CB29FFF8-005B-4D8C-AB91-08BECD66BFAB}"/>
    <cellStyle name="Normal 2 4 2 3 6 3" xfId="5501" xr:uid="{00000000-0005-0000-0000-00002B0F0000}"/>
    <cellStyle name="Normal 2 4 2 3 6 3 2" xfId="13996" xr:uid="{3B9AECCF-BF8F-45AA-B2FB-DBF510F785F6}"/>
    <cellStyle name="Normal 2 4 2 3 6 4" xfId="9783" xr:uid="{0A395B8E-23D5-40A2-8351-0C3C9DE94258}"/>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54" xr:uid="{E559E662-CFEA-4366-B850-B64F7ABB5C10}"/>
    <cellStyle name="Normal 2 4 2 3 7 2 3" xfId="12341" xr:uid="{DBEA46EE-6C19-4190-84B9-871D50B3A182}"/>
    <cellStyle name="Normal 2 4 2 3 7 3" xfId="5914" xr:uid="{00000000-0005-0000-0000-00002F0F0000}"/>
    <cellStyle name="Normal 2 4 2 3 7 3 2" xfId="14409" xr:uid="{DDCD7C7E-8619-4B2A-B728-E734E96DCAAD}"/>
    <cellStyle name="Normal 2 4 2 3 7 4" xfId="10196" xr:uid="{85775087-89DF-49E1-8A40-2C7388CBF51A}"/>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67" xr:uid="{EC2CE827-3259-41A6-9933-1E1E63BF6814}"/>
    <cellStyle name="Normal 2 4 2 3 8 2 3" xfId="12754" xr:uid="{F13F45B0-B1A8-4714-B03E-4642C941CA3A}"/>
    <cellStyle name="Normal 2 4 2 3 8 3" xfId="6327" xr:uid="{00000000-0005-0000-0000-0000330F0000}"/>
    <cellStyle name="Normal 2 4 2 3 8 3 2" xfId="14822" xr:uid="{6039C603-1B36-44F6-B9D6-90864E30B822}"/>
    <cellStyle name="Normal 2 4 2 3 8 4" xfId="10609" xr:uid="{39344085-3A81-4874-A900-5AC430B8D875}"/>
    <cellStyle name="Normal 2 4 2 3 9" xfId="2457" xr:uid="{00000000-0005-0000-0000-0000340F0000}"/>
    <cellStyle name="Normal 2 4 2 3 9 2" xfId="6740" xr:uid="{00000000-0005-0000-0000-0000350F0000}"/>
    <cellStyle name="Normal 2 4 2 3 9 2 2" xfId="15235" xr:uid="{D721CD4B-0F24-4114-A90B-F4F70D62855D}"/>
    <cellStyle name="Normal 2 4 2 3 9 3" xfId="11022" xr:uid="{7F0A6C2B-A9A6-40DE-A6F7-3DD7CC92DBD3}"/>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738" xr:uid="{06738110-AAB3-41EB-94F6-F5F50147B7C9}"/>
    <cellStyle name="Normal 2 4 2 4 2 2 2 2 3" xfId="11525" xr:uid="{1AB833B5-8430-4B5E-9B1F-B3BD2DFE8742}"/>
    <cellStyle name="Normal 2 4 2 4 2 2 2 3" xfId="5098" xr:uid="{00000000-0005-0000-0000-00003C0F0000}"/>
    <cellStyle name="Normal 2 4 2 4 2 2 2 3 2" xfId="13593" xr:uid="{49D8039A-6056-4359-8464-405B7711FF6C}"/>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51" xr:uid="{BD4C84F4-EC83-4C08-A58F-19794B7F7E31}"/>
    <cellStyle name="Normal 2 4 2 4 2 2 3 2 3" xfId="11938" xr:uid="{5F5605A7-17C8-4F09-A661-9DD00985A191}"/>
    <cellStyle name="Normal 2 4 2 4 2 2 3 3" xfId="5511" xr:uid="{00000000-0005-0000-0000-0000400F0000}"/>
    <cellStyle name="Normal 2 4 2 4 2 2 3 3 2" xfId="14006" xr:uid="{2A232435-23D7-47E2-9B5A-5FB977DDC082}"/>
    <cellStyle name="Normal 2 4 2 4 2 2 3 4" xfId="9793" xr:uid="{6748C176-5DD9-43D2-80E9-3237B5AE9F5A}"/>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64" xr:uid="{46F72480-FECE-42E2-9ADD-3BA0A7272FA4}"/>
    <cellStyle name="Normal 2 4 2 4 2 2 4 2 3" xfId="12351" xr:uid="{8E9CC608-3CBC-49CC-98D8-FBADD27C0253}"/>
    <cellStyle name="Normal 2 4 2 4 2 2 4 3" xfId="5924" xr:uid="{00000000-0005-0000-0000-0000440F0000}"/>
    <cellStyle name="Normal 2 4 2 4 2 2 4 3 2" xfId="14419" xr:uid="{9B6BD06A-574D-44FD-B82B-569643733D17}"/>
    <cellStyle name="Normal 2 4 2 4 2 2 4 4" xfId="10206" xr:uid="{4D5F7BC7-D342-471E-BFFB-4E6C747D7D9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77" xr:uid="{7144A849-7161-4BDF-856A-B714BF6E0C64}"/>
    <cellStyle name="Normal 2 4 2 4 2 2 5 2 3" xfId="12764" xr:uid="{752A7579-6E8B-455B-8AD6-E5317A681AF3}"/>
    <cellStyle name="Normal 2 4 2 4 2 2 5 3" xfId="6337" xr:uid="{00000000-0005-0000-0000-0000480F0000}"/>
    <cellStyle name="Normal 2 4 2 4 2 2 5 3 2" xfId="14832" xr:uid="{AA2B88EC-527E-4CFB-B096-49AA1E1FA92D}"/>
    <cellStyle name="Normal 2 4 2 4 2 2 5 4" xfId="10619" xr:uid="{276135C6-E3E6-475C-9893-8D01E0F4BE51}"/>
    <cellStyle name="Normal 2 4 2 4 2 2 6" xfId="2467" xr:uid="{00000000-0005-0000-0000-0000490F0000}"/>
    <cellStyle name="Normal 2 4 2 4 2 2 6 2" xfId="6750" xr:uid="{00000000-0005-0000-0000-00004A0F0000}"/>
    <cellStyle name="Normal 2 4 2 4 2 2 6 2 2" xfId="15245" xr:uid="{ABCDC74F-E3CA-401E-A98A-0C65F76D3F07}"/>
    <cellStyle name="Normal 2 4 2 4 2 2 6 3" xfId="11032" xr:uid="{B59566CC-202D-488A-8A9A-35161F876591}"/>
    <cellStyle name="Normal 2 4 2 4 2 2 7" xfId="4684" xr:uid="{00000000-0005-0000-0000-00004B0F0000}"/>
    <cellStyle name="Normal 2 4 2 4 2 2 7 2" xfId="13180" xr:uid="{19DE3F99-5CBE-41A5-8F41-9EF2538DA335}"/>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737" xr:uid="{018EC9C1-56DC-4E99-9204-7BF6BCE31939}"/>
    <cellStyle name="Normal 2 4 2 4 2 3 2 3" xfId="11524" xr:uid="{94AFFF6F-20C9-46B8-A7A3-940FA63718E9}"/>
    <cellStyle name="Normal 2 4 2 4 2 3 3" xfId="5097" xr:uid="{00000000-0005-0000-0000-00004F0F0000}"/>
    <cellStyle name="Normal 2 4 2 4 2 3 3 2" xfId="13592" xr:uid="{48466D43-8133-4932-AEB9-5452877DDDA7}"/>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50" xr:uid="{424C5049-4722-438D-8F85-9C5B8EF54F9C}"/>
    <cellStyle name="Normal 2 4 2 4 2 4 2 3" xfId="11937" xr:uid="{83E7E542-0A9F-4DC1-9C94-A7F2F1F50A09}"/>
    <cellStyle name="Normal 2 4 2 4 2 4 3" xfId="5510" xr:uid="{00000000-0005-0000-0000-0000530F0000}"/>
    <cellStyle name="Normal 2 4 2 4 2 4 3 2" xfId="14005" xr:uid="{B665B4E8-4AE7-410F-BD68-1E87161BC142}"/>
    <cellStyle name="Normal 2 4 2 4 2 4 4" xfId="9792" xr:uid="{BB78793E-13E9-4568-97E9-994363F0304B}"/>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63" xr:uid="{36E5221B-9874-49E9-9FC5-E1D0854B02B8}"/>
    <cellStyle name="Normal 2 4 2 4 2 5 2 3" xfId="12350" xr:uid="{43F22D0F-4695-4004-BD62-85CA3DAD0835}"/>
    <cellStyle name="Normal 2 4 2 4 2 5 3" xfId="5923" xr:uid="{00000000-0005-0000-0000-0000570F0000}"/>
    <cellStyle name="Normal 2 4 2 4 2 5 3 2" xfId="14418" xr:uid="{26E39E0D-A3DB-4DAA-8B73-686D59BC423F}"/>
    <cellStyle name="Normal 2 4 2 4 2 5 4" xfId="10205" xr:uid="{C0CDEED4-DA55-4FB6-AF72-AA9E74234101}"/>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76" xr:uid="{6E72F922-2193-4E28-863D-CBF73EA6EDDE}"/>
    <cellStyle name="Normal 2 4 2 4 2 6 2 3" xfId="12763" xr:uid="{CF3EBC73-9C42-46B0-B9E9-41F323D9930B}"/>
    <cellStyle name="Normal 2 4 2 4 2 6 3" xfId="6336" xr:uid="{00000000-0005-0000-0000-00005B0F0000}"/>
    <cellStyle name="Normal 2 4 2 4 2 6 3 2" xfId="14831" xr:uid="{7AC72A34-150E-41FD-AB1D-59A2F5E7F161}"/>
    <cellStyle name="Normal 2 4 2 4 2 6 4" xfId="10618" xr:uid="{ABC49007-4F8F-4C5D-861A-5F6DFEA85B84}"/>
    <cellStyle name="Normal 2 4 2 4 2 7" xfId="2466" xr:uid="{00000000-0005-0000-0000-00005C0F0000}"/>
    <cellStyle name="Normal 2 4 2 4 2 7 2" xfId="6749" xr:uid="{00000000-0005-0000-0000-00005D0F0000}"/>
    <cellStyle name="Normal 2 4 2 4 2 7 2 2" xfId="15244" xr:uid="{7DA24844-CF39-4FFA-BAEB-10EC44C3B7BF}"/>
    <cellStyle name="Normal 2 4 2 4 2 7 3" xfId="11031" xr:uid="{7A808A80-17C2-4544-BFB3-1DE7046916E0}"/>
    <cellStyle name="Normal 2 4 2 4 2 8" xfId="4683" xr:uid="{00000000-0005-0000-0000-00005E0F0000}"/>
    <cellStyle name="Normal 2 4 2 4 2 8 2" xfId="13179" xr:uid="{AC286B9B-E6B8-4DED-AD9B-756CD4937EA7}"/>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739" xr:uid="{4A1A12A7-8492-457A-AAE5-AAA7FD07FFFB}"/>
    <cellStyle name="Normal 2 4 2 4 3 2 2 3" xfId="11526" xr:uid="{7E48C9BE-060C-4AB5-BE6C-33ADDF87356E}"/>
    <cellStyle name="Normal 2 4 2 4 3 2 3" xfId="5099" xr:uid="{00000000-0005-0000-0000-0000630F0000}"/>
    <cellStyle name="Normal 2 4 2 4 3 2 3 2" xfId="13594" xr:uid="{55835B36-0360-4A7F-AC6A-102148D24358}"/>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52" xr:uid="{4889B137-2B91-4FD2-B476-217F4CD77E27}"/>
    <cellStyle name="Normal 2 4 2 4 3 3 2 3" xfId="11939" xr:uid="{FEB11F0F-2AF0-4C8D-8641-F71E345C12FE}"/>
    <cellStyle name="Normal 2 4 2 4 3 3 3" xfId="5512" xr:uid="{00000000-0005-0000-0000-0000670F0000}"/>
    <cellStyle name="Normal 2 4 2 4 3 3 3 2" xfId="14007" xr:uid="{AC1724CA-6CDD-4FB6-9B3E-2710B20FB7D0}"/>
    <cellStyle name="Normal 2 4 2 4 3 3 4" xfId="9794" xr:uid="{1C8CD3C4-43DA-4D07-BFC9-2FC189581BB5}"/>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65" xr:uid="{617218F1-DDA9-4ACA-A8CB-41CABFADE8C5}"/>
    <cellStyle name="Normal 2 4 2 4 3 4 2 3" xfId="12352" xr:uid="{24010C97-17CB-4941-ADCE-5B89A87C07CA}"/>
    <cellStyle name="Normal 2 4 2 4 3 4 3" xfId="5925" xr:uid="{00000000-0005-0000-0000-00006B0F0000}"/>
    <cellStyle name="Normal 2 4 2 4 3 4 3 2" xfId="14420" xr:uid="{FE36B365-D5E2-4BA4-B578-74431A901713}"/>
    <cellStyle name="Normal 2 4 2 4 3 4 4" xfId="10207" xr:uid="{3391ACB0-9916-496B-8153-A4C73B5B05A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78" xr:uid="{710A8581-05AC-4360-906D-9875FFC19E7C}"/>
    <cellStyle name="Normal 2 4 2 4 3 5 2 3" xfId="12765" xr:uid="{29F37933-A083-46CC-8C46-A08CE924B941}"/>
    <cellStyle name="Normal 2 4 2 4 3 5 3" xfId="6338" xr:uid="{00000000-0005-0000-0000-00006F0F0000}"/>
    <cellStyle name="Normal 2 4 2 4 3 5 3 2" xfId="14833" xr:uid="{CB4A7648-C9EB-4F23-8221-B71C4BAB2302}"/>
    <cellStyle name="Normal 2 4 2 4 3 5 4" xfId="10620" xr:uid="{F2D2A5E9-D3B2-4A65-B3C3-EF2759D26386}"/>
    <cellStyle name="Normal 2 4 2 4 3 6" xfId="2468" xr:uid="{00000000-0005-0000-0000-0000700F0000}"/>
    <cellStyle name="Normal 2 4 2 4 3 6 2" xfId="6751" xr:uid="{00000000-0005-0000-0000-0000710F0000}"/>
    <cellStyle name="Normal 2 4 2 4 3 6 2 2" xfId="15246" xr:uid="{D98E65D5-4ADC-42F9-A52A-A8530D45B338}"/>
    <cellStyle name="Normal 2 4 2 4 3 6 3" xfId="11033" xr:uid="{03847C5F-7271-4B94-80C0-3393AB8231C2}"/>
    <cellStyle name="Normal 2 4 2 4 3 7" xfId="4685" xr:uid="{00000000-0005-0000-0000-0000720F0000}"/>
    <cellStyle name="Normal 2 4 2 4 3 7 2" xfId="13181" xr:uid="{AC99F4D8-09B7-4037-9D93-CD152356C74A}"/>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736" xr:uid="{9DAD7AB0-EB28-43BD-B091-A5EC36A37C95}"/>
    <cellStyle name="Normal 2 4 2 4 4 2 3" xfId="11523" xr:uid="{448519EF-4040-4B18-BC9F-3FC367E4C1A4}"/>
    <cellStyle name="Normal 2 4 2 4 4 3" xfId="5096" xr:uid="{00000000-0005-0000-0000-0000760F0000}"/>
    <cellStyle name="Normal 2 4 2 4 4 3 2" xfId="13591" xr:uid="{EDC3D6CB-84CF-4AA8-B3C5-26503A13D8B4}"/>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49" xr:uid="{4FCD78CC-A0EC-400A-A6D0-E4A90085B64F}"/>
    <cellStyle name="Normal 2 4 2 4 5 2 3" xfId="11936" xr:uid="{D3318F32-7EAA-4D4F-A040-FAC6A254B220}"/>
    <cellStyle name="Normal 2 4 2 4 5 3" xfId="5509" xr:uid="{00000000-0005-0000-0000-00007A0F0000}"/>
    <cellStyle name="Normal 2 4 2 4 5 3 2" xfId="14004" xr:uid="{8028402B-E4DD-400F-B089-4E7AFE36A295}"/>
    <cellStyle name="Normal 2 4 2 4 5 4" xfId="9791" xr:uid="{199BD463-4C08-48F4-81A5-0166FE46E749}"/>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62" xr:uid="{DA3BEA1F-93F4-4888-B064-D5F2145AD91C}"/>
    <cellStyle name="Normal 2 4 2 4 6 2 3" xfId="12349" xr:uid="{64FFB426-ABDB-45DA-B201-DE1DA714A957}"/>
    <cellStyle name="Normal 2 4 2 4 6 3" xfId="5922" xr:uid="{00000000-0005-0000-0000-00007E0F0000}"/>
    <cellStyle name="Normal 2 4 2 4 6 3 2" xfId="14417" xr:uid="{CC644A47-E5D3-402C-B402-D95AEF8F6CBB}"/>
    <cellStyle name="Normal 2 4 2 4 6 4" xfId="10204" xr:uid="{3F1DA8A4-1AFD-404C-8542-CB2961DD1C45}"/>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75" xr:uid="{CE9B56BA-DC84-40AF-90C2-715461A7F4DA}"/>
    <cellStyle name="Normal 2 4 2 4 7 2 3" xfId="12762" xr:uid="{09302802-6F3F-45F7-8664-A9F4DE5024B9}"/>
    <cellStyle name="Normal 2 4 2 4 7 3" xfId="6335" xr:uid="{00000000-0005-0000-0000-0000820F0000}"/>
    <cellStyle name="Normal 2 4 2 4 7 3 2" xfId="14830" xr:uid="{181DBCF7-017C-4610-AEF4-75A3D5C6D0B6}"/>
    <cellStyle name="Normal 2 4 2 4 7 4" xfId="10617" xr:uid="{2B605357-3639-4DB1-81BC-6E4FA4B04916}"/>
    <cellStyle name="Normal 2 4 2 4 8" xfId="2465" xr:uid="{00000000-0005-0000-0000-0000830F0000}"/>
    <cellStyle name="Normal 2 4 2 4 8 2" xfId="6748" xr:uid="{00000000-0005-0000-0000-0000840F0000}"/>
    <cellStyle name="Normal 2 4 2 4 8 2 2" xfId="15243" xr:uid="{44FF309D-BEAD-4A19-B016-AD09D73989E9}"/>
    <cellStyle name="Normal 2 4 2 4 8 3" xfId="11030" xr:uid="{7B27A7D7-3CB3-4A91-83CD-431F77DFECC9}"/>
    <cellStyle name="Normal 2 4 2 4 9" xfId="4682" xr:uid="{00000000-0005-0000-0000-0000850F0000}"/>
    <cellStyle name="Normal 2 4 2 4 9 2" xfId="13178" xr:uid="{5C0710E9-C7C8-45E7-9ED0-8217D2A706EC}"/>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741" xr:uid="{5AE75052-F053-4D24-B9D6-E1D0237B57F1}"/>
    <cellStyle name="Normal 2 4 2 5 2 2 2 3" xfId="11528" xr:uid="{E8EC6D14-EFE2-4BC7-8419-17F09DED79FE}"/>
    <cellStyle name="Normal 2 4 2 5 2 2 3" xfId="5101" xr:uid="{00000000-0005-0000-0000-00008B0F0000}"/>
    <cellStyle name="Normal 2 4 2 5 2 2 3 2" xfId="13596" xr:uid="{6EB1702D-040D-4606-80D7-352F2B9F7E65}"/>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54" xr:uid="{EFBF91C4-C9D9-46CB-9E87-E61D0A2AB34E}"/>
    <cellStyle name="Normal 2 4 2 5 2 3 2 3" xfId="11941" xr:uid="{EEC00C35-F15C-46A1-A0BB-DF1A1855551D}"/>
    <cellStyle name="Normal 2 4 2 5 2 3 3" xfId="5514" xr:uid="{00000000-0005-0000-0000-00008F0F0000}"/>
    <cellStyle name="Normal 2 4 2 5 2 3 3 2" xfId="14009" xr:uid="{37F43156-FD15-4FD9-B89C-E5B6889C0FB0}"/>
    <cellStyle name="Normal 2 4 2 5 2 3 4" xfId="9796" xr:uid="{4E0F65BB-85CA-47EB-9E9E-06DE730944BE}"/>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67" xr:uid="{95D78A29-0C7C-48EE-9F83-422C44A8D3B3}"/>
    <cellStyle name="Normal 2 4 2 5 2 4 2 3" xfId="12354" xr:uid="{B7414276-9C91-445A-887B-766966F147C6}"/>
    <cellStyle name="Normal 2 4 2 5 2 4 3" xfId="5927" xr:uid="{00000000-0005-0000-0000-0000930F0000}"/>
    <cellStyle name="Normal 2 4 2 5 2 4 3 2" xfId="14422" xr:uid="{26C13A28-8969-4453-AF3F-62A09C8BCF70}"/>
    <cellStyle name="Normal 2 4 2 5 2 4 4" xfId="10209" xr:uid="{6628F000-7FE1-4BDC-8393-CF7E5624FF06}"/>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80" xr:uid="{DFA7CEC7-3B20-432E-A3A1-AA622A9CFDE5}"/>
    <cellStyle name="Normal 2 4 2 5 2 5 2 3" xfId="12767" xr:uid="{85BA1246-12F8-45B2-8B3F-F43A467BC9F4}"/>
    <cellStyle name="Normal 2 4 2 5 2 5 3" xfId="6340" xr:uid="{00000000-0005-0000-0000-0000970F0000}"/>
    <cellStyle name="Normal 2 4 2 5 2 5 3 2" xfId="14835" xr:uid="{375E13DA-5596-492B-B734-D3E79AF054ED}"/>
    <cellStyle name="Normal 2 4 2 5 2 5 4" xfId="10622" xr:uid="{6B15CD4E-328D-4724-8F80-E3F18086B916}"/>
    <cellStyle name="Normal 2 4 2 5 2 6" xfId="2470" xr:uid="{00000000-0005-0000-0000-0000980F0000}"/>
    <cellStyle name="Normal 2 4 2 5 2 6 2" xfId="6753" xr:uid="{00000000-0005-0000-0000-0000990F0000}"/>
    <cellStyle name="Normal 2 4 2 5 2 6 2 2" xfId="15248" xr:uid="{E6D5A40A-E937-45E7-8EAC-CBFDB0D77D63}"/>
    <cellStyle name="Normal 2 4 2 5 2 6 3" xfId="11035" xr:uid="{E38535CF-DCCE-4E54-9B4E-3EC12E6C099A}"/>
    <cellStyle name="Normal 2 4 2 5 2 7" xfId="4687" xr:uid="{00000000-0005-0000-0000-00009A0F0000}"/>
    <cellStyle name="Normal 2 4 2 5 2 7 2" xfId="13183" xr:uid="{BF1AF8A5-508C-4BFA-B3AB-429F382A09D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740" xr:uid="{CA7AD262-A87F-4415-8364-046652C42190}"/>
    <cellStyle name="Normal 2 4 2 5 3 2 3" xfId="11527" xr:uid="{438FEE71-15C5-45FE-A976-FC9EFB4C17EF}"/>
    <cellStyle name="Normal 2 4 2 5 3 3" xfId="5100" xr:uid="{00000000-0005-0000-0000-00009E0F0000}"/>
    <cellStyle name="Normal 2 4 2 5 3 3 2" xfId="13595" xr:uid="{714F226B-FD23-49FE-A85E-C8D802F1D0A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53" xr:uid="{12CB9D7B-1C2C-429B-A811-982ADB3F11F1}"/>
    <cellStyle name="Normal 2 4 2 5 4 2 3" xfId="11940" xr:uid="{7207E759-ED36-43D7-9809-9D48EB0EDBA8}"/>
    <cellStyle name="Normal 2 4 2 5 4 3" xfId="5513" xr:uid="{00000000-0005-0000-0000-0000A20F0000}"/>
    <cellStyle name="Normal 2 4 2 5 4 3 2" xfId="14008" xr:uid="{C08C98DE-8B15-4AF5-B957-6D7D3773EABE}"/>
    <cellStyle name="Normal 2 4 2 5 4 4" xfId="9795" xr:uid="{CBBF1819-1923-479F-910F-F7EC0190F343}"/>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66" xr:uid="{69B76973-3755-40DC-8698-76C9FE8474B0}"/>
    <cellStyle name="Normal 2 4 2 5 5 2 3" xfId="12353" xr:uid="{ABF794E7-5F6E-41FD-9AAE-1D92C43746B1}"/>
    <cellStyle name="Normal 2 4 2 5 5 3" xfId="5926" xr:uid="{00000000-0005-0000-0000-0000A60F0000}"/>
    <cellStyle name="Normal 2 4 2 5 5 3 2" xfId="14421" xr:uid="{7BB10299-D422-4D4C-88D5-C1757397EB1A}"/>
    <cellStyle name="Normal 2 4 2 5 5 4" xfId="10208" xr:uid="{FDD09B24-63C0-4FCC-86D8-A9946F389196}"/>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79" xr:uid="{23579E6B-6082-45CD-81D9-5EAF2952F9B1}"/>
    <cellStyle name="Normal 2 4 2 5 6 2 3" xfId="12766" xr:uid="{9DD66A6A-B0F5-4273-A867-7E2935D633EB}"/>
    <cellStyle name="Normal 2 4 2 5 6 3" xfId="6339" xr:uid="{00000000-0005-0000-0000-0000AA0F0000}"/>
    <cellStyle name="Normal 2 4 2 5 6 3 2" xfId="14834" xr:uid="{D9F54728-A7C3-4C51-8B28-22C863229C8F}"/>
    <cellStyle name="Normal 2 4 2 5 6 4" xfId="10621" xr:uid="{4FEAA494-E35F-4F41-82A0-F1385ADF7E9D}"/>
    <cellStyle name="Normal 2 4 2 5 7" xfId="2469" xr:uid="{00000000-0005-0000-0000-0000AB0F0000}"/>
    <cellStyle name="Normal 2 4 2 5 7 2" xfId="6752" xr:uid="{00000000-0005-0000-0000-0000AC0F0000}"/>
    <cellStyle name="Normal 2 4 2 5 7 2 2" xfId="15247" xr:uid="{3A93E2E9-8274-4FDD-BAE6-3843CB488BDB}"/>
    <cellStyle name="Normal 2 4 2 5 7 3" xfId="11034" xr:uid="{823A2745-E4C5-40D3-8935-3CEA233AC121}"/>
    <cellStyle name="Normal 2 4 2 5 8" xfId="4686" xr:uid="{00000000-0005-0000-0000-0000AD0F0000}"/>
    <cellStyle name="Normal 2 4 2 5 8 2" xfId="13182" xr:uid="{1C47D8AC-B6EE-4255-8615-247DE88642F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742" xr:uid="{1BB9F71A-68DA-4936-9B75-BFEE33E2C448}"/>
    <cellStyle name="Normal 2 4 2 6 2 2 3" xfId="11529" xr:uid="{601A2CD4-5031-491C-AC6E-5708EBD80943}"/>
    <cellStyle name="Normal 2 4 2 6 2 3" xfId="5102" xr:uid="{00000000-0005-0000-0000-0000B20F0000}"/>
    <cellStyle name="Normal 2 4 2 6 2 3 2" xfId="13597" xr:uid="{2BD4C251-8139-4093-89C4-ED3401F0C2B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55" xr:uid="{627E8315-D0F3-48BC-AAA5-E076BB9E32F6}"/>
    <cellStyle name="Normal 2 4 2 6 3 2 3" xfId="11942" xr:uid="{468E9456-48F7-49F1-B60E-E5BCCB2B95E6}"/>
    <cellStyle name="Normal 2 4 2 6 3 3" xfId="5515" xr:uid="{00000000-0005-0000-0000-0000B60F0000}"/>
    <cellStyle name="Normal 2 4 2 6 3 3 2" xfId="14010" xr:uid="{B1572809-4828-47DC-A68D-B1AC8F4C0D0B}"/>
    <cellStyle name="Normal 2 4 2 6 3 4" xfId="9797" xr:uid="{59D1B2E6-019D-4EB1-BD52-1DDABB4B103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68" xr:uid="{BE91D162-A18A-4EE3-911D-0D547D411C3D}"/>
    <cellStyle name="Normal 2 4 2 6 4 2 3" xfId="12355" xr:uid="{68EF27E6-1D4E-405C-BE36-0051B5A429ED}"/>
    <cellStyle name="Normal 2 4 2 6 4 3" xfId="5928" xr:uid="{00000000-0005-0000-0000-0000BA0F0000}"/>
    <cellStyle name="Normal 2 4 2 6 4 3 2" xfId="14423" xr:uid="{C5E3E1CA-9A30-436F-8F49-D9A2861C05A8}"/>
    <cellStyle name="Normal 2 4 2 6 4 4" xfId="10210" xr:uid="{69D5DB11-0A03-4C6F-84D2-39B3D1622567}"/>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81" xr:uid="{2F395A74-8083-4065-8294-03396559DD05}"/>
    <cellStyle name="Normal 2 4 2 6 5 2 3" xfId="12768" xr:uid="{FFA63A87-64BB-411D-B269-933CB1F2BBC4}"/>
    <cellStyle name="Normal 2 4 2 6 5 3" xfId="6341" xr:uid="{00000000-0005-0000-0000-0000BE0F0000}"/>
    <cellStyle name="Normal 2 4 2 6 5 3 2" xfId="14836" xr:uid="{4E0A5399-1D86-4A4B-A4C4-5F31FEA750E6}"/>
    <cellStyle name="Normal 2 4 2 6 5 4" xfId="10623" xr:uid="{95A46EA1-E1AB-48EB-8E7E-95F815F8C76A}"/>
    <cellStyle name="Normal 2 4 2 6 6" xfId="2471" xr:uid="{00000000-0005-0000-0000-0000BF0F0000}"/>
    <cellStyle name="Normal 2 4 2 6 6 2" xfId="6754" xr:uid="{00000000-0005-0000-0000-0000C00F0000}"/>
    <cellStyle name="Normal 2 4 2 6 6 2 2" xfId="15249" xr:uid="{545CAD12-2193-4A27-89F5-B02CC28F9308}"/>
    <cellStyle name="Normal 2 4 2 6 6 3" xfId="11036" xr:uid="{5E7C82BE-67E4-43D1-B3D1-6E2DB8ADFAEC}"/>
    <cellStyle name="Normal 2 4 2 6 7" xfId="4688" xr:uid="{00000000-0005-0000-0000-0000C10F0000}"/>
    <cellStyle name="Normal 2 4 2 6 7 2" xfId="13184" xr:uid="{662B02B0-5A89-4E02-9524-1F87BFB1A213}"/>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2 2 2" xfId="15727" xr:uid="{41D9B2E3-F377-4653-993F-50F13805110A}"/>
    <cellStyle name="Normal 2 4 2 7 2 3" xfId="11514" xr:uid="{EC7EC154-6BE8-4745-9F37-2EAB2F52A31A}"/>
    <cellStyle name="Normal 2 4 2 7 3" xfId="5087" xr:uid="{00000000-0005-0000-0000-0000C50F0000}"/>
    <cellStyle name="Normal 2 4 2 7 3 2" xfId="13582" xr:uid="{3412A024-887C-42E7-B6C1-D92BA4E650F2}"/>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2 2 2" xfId="16140" xr:uid="{598C5474-3D9A-4DD8-A6ED-FD3F3B9E92E3}"/>
    <cellStyle name="Normal 2 4 2 8 2 3" xfId="11927" xr:uid="{549600BA-91C2-466E-82DC-56DFFFE1E849}"/>
    <cellStyle name="Normal 2 4 2 8 3" xfId="5500" xr:uid="{00000000-0005-0000-0000-0000C90F0000}"/>
    <cellStyle name="Normal 2 4 2 8 3 2" xfId="13995" xr:uid="{93752E54-C5D3-465B-BBFD-638987122C93}"/>
    <cellStyle name="Normal 2 4 2 8 4" xfId="9782" xr:uid="{FE6698F9-FB79-4B97-A61E-4A5A32105D8B}"/>
    <cellStyle name="Normal 2 4 2 9" xfId="1606" xr:uid="{00000000-0005-0000-0000-0000CA0F0000}"/>
    <cellStyle name="Normal 2 4 2 9 2" xfId="3836" xr:uid="{00000000-0005-0000-0000-0000CB0F0000}"/>
    <cellStyle name="Normal 2 4 2 9 2 2" xfId="8058" xr:uid="{00000000-0005-0000-0000-0000CC0F0000}"/>
    <cellStyle name="Normal 2 4 2 9 2 2 2" xfId="16553" xr:uid="{54592DA4-34EA-4C28-A15B-13ED83CAABCC}"/>
    <cellStyle name="Normal 2 4 2 9 2 3" xfId="12340" xr:uid="{F5531456-0B7C-4E61-8FCE-A5A7DA3C5D4E}"/>
    <cellStyle name="Normal 2 4 2 9 3" xfId="5913" xr:uid="{00000000-0005-0000-0000-0000CD0F0000}"/>
    <cellStyle name="Normal 2 4 2 9 3 2" xfId="14408" xr:uid="{A8786B6E-1A53-464A-B28C-9F14E680735E}"/>
    <cellStyle name="Normal 2 4 2 9 4" xfId="10195" xr:uid="{F6198BCE-3B3E-41E8-AF48-C82DD7052889}"/>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46" xr:uid="{76E09569-A397-4193-B24B-F96FED4D2AB6}"/>
    <cellStyle name="Normal 2 4 3 3 2 2 2 2 3" xfId="11533" xr:uid="{A9C0748C-BD36-4B4F-9825-5CC81CC064AB}"/>
    <cellStyle name="Normal 2 4 3 3 2 2 2 3" xfId="5106" xr:uid="{00000000-0005-0000-0000-0000D60F0000}"/>
    <cellStyle name="Normal 2 4 3 3 2 2 2 3 2" xfId="13601" xr:uid="{7BF33C7C-4FD2-4EB0-9AA9-59488EF8B32A}"/>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59" xr:uid="{0D8A2E33-8792-4ECD-86BF-F50C4CC13C08}"/>
    <cellStyle name="Normal 2 4 3 3 2 2 3 2 3" xfId="11946" xr:uid="{B9A35A17-D36E-4BD1-8593-3FEF526AD4F8}"/>
    <cellStyle name="Normal 2 4 3 3 2 2 3 3" xfId="5519" xr:uid="{00000000-0005-0000-0000-0000DA0F0000}"/>
    <cellStyle name="Normal 2 4 3 3 2 2 3 3 2" xfId="14014" xr:uid="{46A75410-EED3-4E80-AE7B-2CACC56D9D3E}"/>
    <cellStyle name="Normal 2 4 3 3 2 2 3 4" xfId="9801" xr:uid="{1E2A83DA-6B5F-41C2-AD22-57B3060CB57A}"/>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72" xr:uid="{8EC3BE46-E706-4E6B-977B-5439B75B88ED}"/>
    <cellStyle name="Normal 2 4 3 3 2 2 4 2 3" xfId="12359" xr:uid="{F0B4686E-6D60-432F-8D00-BAB548385E3C}"/>
    <cellStyle name="Normal 2 4 3 3 2 2 4 3" xfId="5932" xr:uid="{00000000-0005-0000-0000-0000DE0F0000}"/>
    <cellStyle name="Normal 2 4 3 3 2 2 4 3 2" xfId="14427" xr:uid="{E42DBDC5-5849-4D4F-814A-7007A44F4B6A}"/>
    <cellStyle name="Normal 2 4 3 3 2 2 4 4" xfId="10214" xr:uid="{7C55EC71-01D9-4873-B95F-E8A8C381A36E}"/>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85" xr:uid="{6F2552C7-8DE8-4A15-95A0-7C3C182FC22C}"/>
    <cellStyle name="Normal 2 4 3 3 2 2 5 2 3" xfId="12772" xr:uid="{4FD6474B-ABD6-44B9-A81E-E0B1509D0289}"/>
    <cellStyle name="Normal 2 4 3 3 2 2 5 3" xfId="6345" xr:uid="{00000000-0005-0000-0000-0000E20F0000}"/>
    <cellStyle name="Normal 2 4 3 3 2 2 5 3 2" xfId="14840" xr:uid="{A0448FDE-A790-4D58-A88C-7449EFADA03A}"/>
    <cellStyle name="Normal 2 4 3 3 2 2 5 4" xfId="10627" xr:uid="{E3DCE095-87CF-4CA5-A298-A35FF500E3FD}"/>
    <cellStyle name="Normal 2 4 3 3 2 2 6" xfId="2475" xr:uid="{00000000-0005-0000-0000-0000E30F0000}"/>
    <cellStyle name="Normal 2 4 3 3 2 2 6 2" xfId="6758" xr:uid="{00000000-0005-0000-0000-0000E40F0000}"/>
    <cellStyle name="Normal 2 4 3 3 2 2 6 2 2" xfId="15253" xr:uid="{4A7C466B-6D2A-4BB8-8590-5D0F21CF5C36}"/>
    <cellStyle name="Normal 2 4 3 3 2 2 6 3" xfId="11040" xr:uid="{45C7B009-A2BA-426E-BE69-8618D483FA60}"/>
    <cellStyle name="Normal 2 4 3 3 2 2 7" xfId="4692" xr:uid="{00000000-0005-0000-0000-0000E50F0000}"/>
    <cellStyle name="Normal 2 4 3 3 2 2 7 2" xfId="13188" xr:uid="{3DA8170F-A219-4A86-B52D-DF481ADE24D9}"/>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45" xr:uid="{9E0F03B3-F502-4F78-8D58-DDF1D5A59EC4}"/>
    <cellStyle name="Normal 2 4 3 3 2 3 2 3" xfId="11532" xr:uid="{868C2824-0EB0-4804-A0FE-865C5C7BF76C}"/>
    <cellStyle name="Normal 2 4 3 3 2 3 3" xfId="5105" xr:uid="{00000000-0005-0000-0000-0000E90F0000}"/>
    <cellStyle name="Normal 2 4 3 3 2 3 3 2" xfId="13600" xr:uid="{2C708DAF-9950-4918-B363-6BAF9A6027FB}"/>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58" xr:uid="{44871F6C-5F42-4628-BAA5-FE8314198B70}"/>
    <cellStyle name="Normal 2 4 3 3 2 4 2 3" xfId="11945" xr:uid="{FBDCE875-3242-48BA-89CE-9E1D83F0D222}"/>
    <cellStyle name="Normal 2 4 3 3 2 4 3" xfId="5518" xr:uid="{00000000-0005-0000-0000-0000ED0F0000}"/>
    <cellStyle name="Normal 2 4 3 3 2 4 3 2" xfId="14013" xr:uid="{CC66B6FA-CF74-4F9F-901F-49ABCCCE2445}"/>
    <cellStyle name="Normal 2 4 3 3 2 4 4" xfId="9800" xr:uid="{F40AEF4D-3328-4CB0-A513-846EFF876D2B}"/>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71" xr:uid="{D3ED9D5A-7397-477A-A636-3961D248B8F4}"/>
    <cellStyle name="Normal 2 4 3 3 2 5 2 3" xfId="12358" xr:uid="{E042873B-2729-4806-B7A5-43849F1282FF}"/>
    <cellStyle name="Normal 2 4 3 3 2 5 3" xfId="5931" xr:uid="{00000000-0005-0000-0000-0000F10F0000}"/>
    <cellStyle name="Normal 2 4 3 3 2 5 3 2" xfId="14426" xr:uid="{0BAC84A5-064A-4292-8953-9737E1449650}"/>
    <cellStyle name="Normal 2 4 3 3 2 5 4" xfId="10213" xr:uid="{74FB057D-46C7-4F67-B20C-A733F670370D}"/>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84" xr:uid="{2A09FA69-93F8-44A6-9537-322B2FA13B22}"/>
    <cellStyle name="Normal 2 4 3 3 2 6 2 3" xfId="12771" xr:uid="{62B5FF70-A221-433B-BF4E-E2371A963B7F}"/>
    <cellStyle name="Normal 2 4 3 3 2 6 3" xfId="6344" xr:uid="{00000000-0005-0000-0000-0000F50F0000}"/>
    <cellStyle name="Normal 2 4 3 3 2 6 3 2" xfId="14839" xr:uid="{B580C46D-6887-46D5-B557-351AF7316F60}"/>
    <cellStyle name="Normal 2 4 3 3 2 6 4" xfId="10626" xr:uid="{3CD742DC-503D-424F-A961-3D2DD190338F}"/>
    <cellStyle name="Normal 2 4 3 3 2 7" xfId="2474" xr:uid="{00000000-0005-0000-0000-0000F60F0000}"/>
    <cellStyle name="Normal 2 4 3 3 2 7 2" xfId="6757" xr:uid="{00000000-0005-0000-0000-0000F70F0000}"/>
    <cellStyle name="Normal 2 4 3 3 2 7 2 2" xfId="15252" xr:uid="{A7A86354-630B-4F2F-A53F-3B54158BF07C}"/>
    <cellStyle name="Normal 2 4 3 3 2 7 3" xfId="11039" xr:uid="{A33926CD-7A7B-4C9D-A8CD-ADF7C1446488}"/>
    <cellStyle name="Normal 2 4 3 3 2 8" xfId="4691" xr:uid="{00000000-0005-0000-0000-0000F80F0000}"/>
    <cellStyle name="Normal 2 4 3 3 2 8 2" xfId="13187" xr:uid="{C2361467-DCFD-4153-BFC8-8C24FF1D51FE}"/>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47" xr:uid="{90A2481D-0BA0-4135-A3D9-845EADD8527F}"/>
    <cellStyle name="Normal 2 4 3 3 3 2 2 3" xfId="11534" xr:uid="{AD7AB8F0-E67F-451D-A6B5-51AFF1A0C37D}"/>
    <cellStyle name="Normal 2 4 3 3 3 2 3" xfId="5107" xr:uid="{00000000-0005-0000-0000-0000FD0F0000}"/>
    <cellStyle name="Normal 2 4 3 3 3 2 3 2" xfId="13602" xr:uid="{6C5F6DD5-3A0A-4B7A-9DB8-249678D99345}"/>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60" xr:uid="{0632FB53-D3DC-472B-9D63-368F62EE565F}"/>
    <cellStyle name="Normal 2 4 3 3 3 3 2 3" xfId="11947" xr:uid="{216C526A-09E7-48F1-A45E-1F84278493E6}"/>
    <cellStyle name="Normal 2 4 3 3 3 3 3" xfId="5520" xr:uid="{00000000-0005-0000-0000-000001100000}"/>
    <cellStyle name="Normal 2 4 3 3 3 3 3 2" xfId="14015" xr:uid="{115272B2-3158-471A-B519-9851ACD62C0E}"/>
    <cellStyle name="Normal 2 4 3 3 3 3 4" xfId="9802" xr:uid="{2C88EAF4-96F4-4529-9048-928012D43A0C}"/>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73" xr:uid="{925548F2-D4C0-4001-A767-2B3315318B15}"/>
    <cellStyle name="Normal 2 4 3 3 3 4 2 3" xfId="12360" xr:uid="{29039D0C-8556-4178-8931-947B3B24F7D2}"/>
    <cellStyle name="Normal 2 4 3 3 3 4 3" xfId="5933" xr:uid="{00000000-0005-0000-0000-000005100000}"/>
    <cellStyle name="Normal 2 4 3 3 3 4 3 2" xfId="14428" xr:uid="{30BAEF9B-A0E8-4277-B658-6DF04F8D844B}"/>
    <cellStyle name="Normal 2 4 3 3 3 4 4" xfId="10215" xr:uid="{B0A13AED-8D0E-48F0-9FFD-52D44F8E15A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86" xr:uid="{1BE774A7-363E-4A8E-B9B4-0FD6F3B7E36B}"/>
    <cellStyle name="Normal 2 4 3 3 3 5 2 3" xfId="12773" xr:uid="{59CB5779-791B-431F-9489-B0CC8C4E87B0}"/>
    <cellStyle name="Normal 2 4 3 3 3 5 3" xfId="6346" xr:uid="{00000000-0005-0000-0000-000009100000}"/>
    <cellStyle name="Normal 2 4 3 3 3 5 3 2" xfId="14841" xr:uid="{F14B29DB-A5BC-4BB3-8819-6D5033B58D63}"/>
    <cellStyle name="Normal 2 4 3 3 3 5 4" xfId="10628" xr:uid="{390AC62A-608C-4AC4-BA03-11254273DEE9}"/>
    <cellStyle name="Normal 2 4 3 3 3 6" xfId="2476" xr:uid="{00000000-0005-0000-0000-00000A100000}"/>
    <cellStyle name="Normal 2 4 3 3 3 6 2" xfId="6759" xr:uid="{00000000-0005-0000-0000-00000B100000}"/>
    <cellStyle name="Normal 2 4 3 3 3 6 2 2" xfId="15254" xr:uid="{376AFDEA-8962-4CBD-818F-7B55B4FE736B}"/>
    <cellStyle name="Normal 2 4 3 3 3 6 3" xfId="11041" xr:uid="{36C6C952-FEC9-4C94-A4B3-3177C6619928}"/>
    <cellStyle name="Normal 2 4 3 3 3 7" xfId="4693" xr:uid="{00000000-0005-0000-0000-00000C100000}"/>
    <cellStyle name="Normal 2 4 3 3 3 7 2" xfId="13189" xr:uid="{4E7A017D-1572-40B1-B9D0-FC393338904A}"/>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744" xr:uid="{B3DC6D88-1783-405D-A5A0-3F27EE8D6182}"/>
    <cellStyle name="Normal 2 4 3 3 4 2 3" xfId="11531" xr:uid="{7058D28C-F2CC-4186-9FBF-FCC39BBF87CE}"/>
    <cellStyle name="Normal 2 4 3 3 4 3" xfId="5104" xr:uid="{00000000-0005-0000-0000-000010100000}"/>
    <cellStyle name="Normal 2 4 3 3 4 3 2" xfId="13599" xr:uid="{5438A644-883C-4346-933B-16973837F126}"/>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57" xr:uid="{EE09B68E-B607-4838-A214-E041E6E40B0F}"/>
    <cellStyle name="Normal 2 4 3 3 5 2 3" xfId="11944" xr:uid="{DA4BF7D5-5B33-4164-9A6E-58792CCA11F0}"/>
    <cellStyle name="Normal 2 4 3 3 5 3" xfId="5517" xr:uid="{00000000-0005-0000-0000-000014100000}"/>
    <cellStyle name="Normal 2 4 3 3 5 3 2" xfId="14012" xr:uid="{BDED160E-114B-4F1E-AD1E-416FED1F59F8}"/>
    <cellStyle name="Normal 2 4 3 3 5 4" xfId="9799" xr:uid="{6DE05547-04B4-4415-9CCF-9CFFAC67B128}"/>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70" xr:uid="{935DE594-7454-4ABE-90D0-0051E89C2C50}"/>
    <cellStyle name="Normal 2 4 3 3 6 2 3" xfId="12357" xr:uid="{96C4DE76-A7AF-4577-96A0-A1A452C1307C}"/>
    <cellStyle name="Normal 2 4 3 3 6 3" xfId="5930" xr:uid="{00000000-0005-0000-0000-000018100000}"/>
    <cellStyle name="Normal 2 4 3 3 6 3 2" xfId="14425" xr:uid="{CF61ED5E-D1BB-4577-8FB4-207807CAF92B}"/>
    <cellStyle name="Normal 2 4 3 3 6 4" xfId="10212" xr:uid="{8598B24A-C5BE-4373-91C1-33EB5A36A872}"/>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83" xr:uid="{D6E05570-294F-44B0-B9EC-D76342238F85}"/>
    <cellStyle name="Normal 2 4 3 3 7 2 3" xfId="12770" xr:uid="{EB7C4519-2645-4FA1-86E4-F43941D096BE}"/>
    <cellStyle name="Normal 2 4 3 3 7 3" xfId="6343" xr:uid="{00000000-0005-0000-0000-00001C100000}"/>
    <cellStyle name="Normal 2 4 3 3 7 3 2" xfId="14838" xr:uid="{123254BD-256A-404F-9100-21FBD2E08E09}"/>
    <cellStyle name="Normal 2 4 3 3 7 4" xfId="10625" xr:uid="{F514CAB6-CD02-40A0-84F7-83DBF6F86890}"/>
    <cellStyle name="Normal 2 4 3 3 8" xfId="2473" xr:uid="{00000000-0005-0000-0000-00001D100000}"/>
    <cellStyle name="Normal 2 4 3 3 8 2" xfId="6756" xr:uid="{00000000-0005-0000-0000-00001E100000}"/>
    <cellStyle name="Normal 2 4 3 3 8 2 2" xfId="15251" xr:uid="{FC8785FB-DE74-4AA0-B527-0BC6627E09C5}"/>
    <cellStyle name="Normal 2 4 3 3 8 3" xfId="11038" xr:uid="{6B5FB9B6-EBA0-4306-81CE-3B906A223C69}"/>
    <cellStyle name="Normal 2 4 3 3 9" xfId="4690" xr:uid="{00000000-0005-0000-0000-00001F100000}"/>
    <cellStyle name="Normal 2 4 3 3 9 2" xfId="13186" xr:uid="{6DF7BC69-3D92-49C1-B6F9-46BA962F851C}"/>
    <cellStyle name="Normal 2 4 3 4" xfId="787" xr:uid="{00000000-0005-0000-0000-000020100000}"/>
    <cellStyle name="Normal 2 4 3 4 2" xfId="3026" xr:uid="{00000000-0005-0000-0000-000021100000}"/>
    <cellStyle name="Normal 2 4 3 4 2 2" xfId="7248" xr:uid="{00000000-0005-0000-0000-000022100000}"/>
    <cellStyle name="Normal 2 4 3 4 2 2 2" xfId="15743" xr:uid="{9C33B14E-8243-4BBD-8837-4AD5D668275C}"/>
    <cellStyle name="Normal 2 4 3 4 2 3" xfId="11530" xr:uid="{628B250F-D1AB-47F7-9E3E-EF7BA2EF8F99}"/>
    <cellStyle name="Normal 2 4 3 4 3" xfId="5103" xr:uid="{00000000-0005-0000-0000-000023100000}"/>
    <cellStyle name="Normal 2 4 3 4 3 2" xfId="13598" xr:uid="{0AB82AC0-264D-4D5D-AACD-30797A3FD4C7}"/>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2 2 2" xfId="16156" xr:uid="{910B3807-9CD7-42DE-8820-4CE152ADE799}"/>
    <cellStyle name="Normal 2 4 3 5 2 3" xfId="11943" xr:uid="{7F3FADD6-08F3-4B49-8ACB-DA89A3DEEBF4}"/>
    <cellStyle name="Normal 2 4 3 5 3" xfId="5516" xr:uid="{00000000-0005-0000-0000-000027100000}"/>
    <cellStyle name="Normal 2 4 3 5 3 2" xfId="14011" xr:uid="{03217078-A9B6-4BBC-B4AE-1D0F9862EDDB}"/>
    <cellStyle name="Normal 2 4 3 5 4" xfId="9798" xr:uid="{E44BB82A-59C3-4FA9-952B-20857C69972C}"/>
    <cellStyle name="Normal 2 4 3 6" xfId="1622" xr:uid="{00000000-0005-0000-0000-000028100000}"/>
    <cellStyle name="Normal 2 4 3 6 2" xfId="3852" xr:uid="{00000000-0005-0000-0000-000029100000}"/>
    <cellStyle name="Normal 2 4 3 6 2 2" xfId="8074" xr:uid="{00000000-0005-0000-0000-00002A100000}"/>
    <cellStyle name="Normal 2 4 3 6 2 2 2" xfId="16569" xr:uid="{798F5AD3-4ADD-4F09-8D1F-6ED1A0281DEC}"/>
    <cellStyle name="Normal 2 4 3 6 2 3" xfId="12356" xr:uid="{AE3AA39C-662F-4B41-9813-61E62CEEE4CB}"/>
    <cellStyle name="Normal 2 4 3 6 3" xfId="5929" xr:uid="{00000000-0005-0000-0000-00002B100000}"/>
    <cellStyle name="Normal 2 4 3 6 3 2" xfId="14424" xr:uid="{6B4EFC51-AF40-4694-A150-584456F434AB}"/>
    <cellStyle name="Normal 2 4 3 6 4" xfId="10211" xr:uid="{BF92E3FE-7564-4835-838A-49F77F0DD07D}"/>
    <cellStyle name="Normal 2 4 3 7" xfId="2036" xr:uid="{00000000-0005-0000-0000-00002C100000}"/>
    <cellStyle name="Normal 2 4 3 7 2" xfId="4265" xr:uid="{00000000-0005-0000-0000-00002D100000}"/>
    <cellStyle name="Normal 2 4 3 7 2 2" xfId="8487" xr:uid="{00000000-0005-0000-0000-00002E100000}"/>
    <cellStyle name="Normal 2 4 3 7 2 2 2" xfId="16982" xr:uid="{77680AEA-2015-4AF1-AAEF-9D75BEF5D164}"/>
    <cellStyle name="Normal 2 4 3 7 2 3" xfId="12769" xr:uid="{D3229A89-4090-4F8E-9EDC-21C6F4332EA8}"/>
    <cellStyle name="Normal 2 4 3 7 3" xfId="6342" xr:uid="{00000000-0005-0000-0000-00002F100000}"/>
    <cellStyle name="Normal 2 4 3 7 3 2" xfId="14837" xr:uid="{B2DAFBE1-43DB-46A9-9231-6E4832C082FB}"/>
    <cellStyle name="Normal 2 4 3 7 4" xfId="10624" xr:uid="{8153DC9D-2E90-4838-93C1-4588A718A2EA}"/>
    <cellStyle name="Normal 2 4 3 8" xfId="2472" xr:uid="{00000000-0005-0000-0000-000030100000}"/>
    <cellStyle name="Normal 2 4 3 8 2" xfId="6755" xr:uid="{00000000-0005-0000-0000-000031100000}"/>
    <cellStyle name="Normal 2 4 3 8 2 2" xfId="15250" xr:uid="{78AD11CC-78EF-42A3-8519-520BDB1C1718}"/>
    <cellStyle name="Normal 2 4 3 8 3" xfId="11037" xr:uid="{814956AB-DF09-48AE-ADB9-9945D8583627}"/>
    <cellStyle name="Normal 2 4 3 9" xfId="4689" xr:uid="{00000000-0005-0000-0000-000032100000}"/>
    <cellStyle name="Normal 2 4 3 9 2" xfId="13185" xr:uid="{3C57C768-02F4-4A69-8C95-7C6D7DE0FE37}"/>
    <cellStyle name="Normal 2 4 4" xfId="302" xr:uid="{00000000-0005-0000-0000-000033100000}"/>
    <cellStyle name="Normal 2 4 5" xfId="303" xr:uid="{00000000-0005-0000-0000-000034100000}"/>
    <cellStyle name="Normal 2 4 5 10" xfId="4694" xr:uid="{00000000-0005-0000-0000-000035100000}"/>
    <cellStyle name="Normal 2 4 5 10 2" xfId="13190" xr:uid="{8FD9973A-9195-4873-8F1F-1DDDD0CD84B4}"/>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51" xr:uid="{838E8C5C-4E37-46ED-9F99-FECD4EEFA5EF}"/>
    <cellStyle name="Normal 2 4 5 2 2 2 2 2 3" xfId="11538" xr:uid="{6B6EC0FB-FC3B-4F66-B5F6-10A373E5E845}"/>
    <cellStyle name="Normal 2 4 5 2 2 2 2 3" xfId="5111" xr:uid="{00000000-0005-0000-0000-00003C100000}"/>
    <cellStyle name="Normal 2 4 5 2 2 2 2 3 2" xfId="13606" xr:uid="{1D3D0F2D-9AB1-4062-B062-04CE4BFBC876}"/>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64" xr:uid="{40F628A6-74FB-42C8-9185-92FC5522D2B2}"/>
    <cellStyle name="Normal 2 4 5 2 2 2 3 2 3" xfId="11951" xr:uid="{4F484843-83C2-4FD1-A0BB-FC64DBE38255}"/>
    <cellStyle name="Normal 2 4 5 2 2 2 3 3" xfId="5524" xr:uid="{00000000-0005-0000-0000-000040100000}"/>
    <cellStyle name="Normal 2 4 5 2 2 2 3 3 2" xfId="14019" xr:uid="{FEE939B3-873D-4F38-ADE6-2BD901A65B71}"/>
    <cellStyle name="Normal 2 4 5 2 2 2 3 4" xfId="9806" xr:uid="{FC1A14E6-70F6-46CF-A2E3-46CA9B1A727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77" xr:uid="{6CA48850-0CC4-42D2-8233-0E297C9E9BEF}"/>
    <cellStyle name="Normal 2 4 5 2 2 2 4 2 3" xfId="12364" xr:uid="{DD86C868-7B57-42DE-A549-014912A622C0}"/>
    <cellStyle name="Normal 2 4 5 2 2 2 4 3" xfId="5937" xr:uid="{00000000-0005-0000-0000-000044100000}"/>
    <cellStyle name="Normal 2 4 5 2 2 2 4 3 2" xfId="14432" xr:uid="{766DABC2-2543-4168-B551-BC1035C6FE51}"/>
    <cellStyle name="Normal 2 4 5 2 2 2 4 4" xfId="10219" xr:uid="{A4FAEDE6-EE53-4935-9DBC-F572D2B41FDE}"/>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90" xr:uid="{27BB9BEA-3EF7-4F7A-9856-BBC90270FC4C}"/>
    <cellStyle name="Normal 2 4 5 2 2 2 5 2 3" xfId="12777" xr:uid="{306C783D-FC3F-43FF-9E21-DBD392733DFA}"/>
    <cellStyle name="Normal 2 4 5 2 2 2 5 3" xfId="6350" xr:uid="{00000000-0005-0000-0000-000048100000}"/>
    <cellStyle name="Normal 2 4 5 2 2 2 5 3 2" xfId="14845" xr:uid="{AE8DFA11-7661-4DF6-A4C4-A730DD975B1A}"/>
    <cellStyle name="Normal 2 4 5 2 2 2 5 4" xfId="10632" xr:uid="{4351113C-2784-43BC-804F-292412A4DCF2}"/>
    <cellStyle name="Normal 2 4 5 2 2 2 6" xfId="2480" xr:uid="{00000000-0005-0000-0000-000049100000}"/>
    <cellStyle name="Normal 2 4 5 2 2 2 6 2" xfId="6763" xr:uid="{00000000-0005-0000-0000-00004A100000}"/>
    <cellStyle name="Normal 2 4 5 2 2 2 6 2 2" xfId="15258" xr:uid="{B175BA99-7B36-40B7-B3B4-5612AF9F4318}"/>
    <cellStyle name="Normal 2 4 5 2 2 2 6 3" xfId="11045" xr:uid="{94A2AC80-D979-4500-988A-C9AFC18725C3}"/>
    <cellStyle name="Normal 2 4 5 2 2 2 7" xfId="4697" xr:uid="{00000000-0005-0000-0000-00004B100000}"/>
    <cellStyle name="Normal 2 4 5 2 2 2 7 2" xfId="13193" xr:uid="{9403D10F-45AB-4C13-A160-801FF6D43E3F}"/>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50" xr:uid="{5838FEBF-8489-4F2F-BA3D-C5755258AEF2}"/>
    <cellStyle name="Normal 2 4 5 2 2 3 2 3" xfId="11537" xr:uid="{F995E590-3D24-4F7B-8573-6818011BC768}"/>
    <cellStyle name="Normal 2 4 5 2 2 3 3" xfId="5110" xr:uid="{00000000-0005-0000-0000-00004F100000}"/>
    <cellStyle name="Normal 2 4 5 2 2 3 3 2" xfId="13605" xr:uid="{1762DF41-4DF9-4AEF-A501-8B1D234862ED}"/>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63" xr:uid="{2C619779-012E-437C-ACE5-A4E886F5A98C}"/>
    <cellStyle name="Normal 2 4 5 2 2 4 2 3" xfId="11950" xr:uid="{B9BA5FEA-EDFA-4560-81D4-F23504985C35}"/>
    <cellStyle name="Normal 2 4 5 2 2 4 3" xfId="5523" xr:uid="{00000000-0005-0000-0000-000053100000}"/>
    <cellStyle name="Normal 2 4 5 2 2 4 3 2" xfId="14018" xr:uid="{BBCCE12D-FF52-45A1-8002-B74AED90E1AB}"/>
    <cellStyle name="Normal 2 4 5 2 2 4 4" xfId="9805" xr:uid="{0C1E8D2E-4BE2-4E77-8A10-91417A7232D5}"/>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76" xr:uid="{D2A93888-6B65-4C3B-BE4F-30C1B0103FC7}"/>
    <cellStyle name="Normal 2 4 5 2 2 5 2 3" xfId="12363" xr:uid="{912BF2FC-898F-4974-B744-4434D5D7BBA6}"/>
    <cellStyle name="Normal 2 4 5 2 2 5 3" xfId="5936" xr:uid="{00000000-0005-0000-0000-000057100000}"/>
    <cellStyle name="Normal 2 4 5 2 2 5 3 2" xfId="14431" xr:uid="{57E699FD-67B4-4A6E-9E2B-6BB7AFD9310D}"/>
    <cellStyle name="Normal 2 4 5 2 2 5 4" xfId="10218" xr:uid="{5FDCDA7A-A221-4E3F-BE6F-2D8303AC9E93}"/>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89" xr:uid="{D5D1591F-DCE5-438B-9CDF-0E08EE1CC2C4}"/>
    <cellStyle name="Normal 2 4 5 2 2 6 2 3" xfId="12776" xr:uid="{D904780C-4433-48E2-8548-92D87F1C70CD}"/>
    <cellStyle name="Normal 2 4 5 2 2 6 3" xfId="6349" xr:uid="{00000000-0005-0000-0000-00005B100000}"/>
    <cellStyle name="Normal 2 4 5 2 2 6 3 2" xfId="14844" xr:uid="{66D9C577-570E-45BA-B23A-70D3F342F487}"/>
    <cellStyle name="Normal 2 4 5 2 2 6 4" xfId="10631" xr:uid="{E26086B1-AE9D-4E68-A7A4-4EAD844112BA}"/>
    <cellStyle name="Normal 2 4 5 2 2 7" xfId="2479" xr:uid="{00000000-0005-0000-0000-00005C100000}"/>
    <cellStyle name="Normal 2 4 5 2 2 7 2" xfId="6762" xr:uid="{00000000-0005-0000-0000-00005D100000}"/>
    <cellStyle name="Normal 2 4 5 2 2 7 2 2" xfId="15257" xr:uid="{B965E046-CBA5-4883-A87D-3F1B5AE681BE}"/>
    <cellStyle name="Normal 2 4 5 2 2 7 3" xfId="11044" xr:uid="{AB6462A5-B830-4C8D-85D5-40D75255DD44}"/>
    <cellStyle name="Normal 2 4 5 2 2 8" xfId="4696" xr:uid="{00000000-0005-0000-0000-00005E100000}"/>
    <cellStyle name="Normal 2 4 5 2 2 8 2" xfId="13192" xr:uid="{D8761313-FC89-4458-9D62-BCCDE9656292}"/>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52" xr:uid="{8041D1F6-36A0-4AA9-B217-B83FB95A01CD}"/>
    <cellStyle name="Normal 2 4 5 2 3 2 2 3" xfId="11539" xr:uid="{F865EFBA-3664-4CAB-9940-6103247AF341}"/>
    <cellStyle name="Normal 2 4 5 2 3 2 3" xfId="5112" xr:uid="{00000000-0005-0000-0000-000063100000}"/>
    <cellStyle name="Normal 2 4 5 2 3 2 3 2" xfId="13607" xr:uid="{283BD392-57AB-49DA-ABA9-BA9F0DE5C8A2}"/>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65" xr:uid="{F9E3DD5F-09AD-48DC-978C-B8FB76750B73}"/>
    <cellStyle name="Normal 2 4 5 2 3 3 2 3" xfId="11952" xr:uid="{CCE3D4CE-5655-4A40-B64B-ADECDB624F3D}"/>
    <cellStyle name="Normal 2 4 5 2 3 3 3" xfId="5525" xr:uid="{00000000-0005-0000-0000-000067100000}"/>
    <cellStyle name="Normal 2 4 5 2 3 3 3 2" xfId="14020" xr:uid="{0AD6C604-4F82-4052-B4AB-E216610712E8}"/>
    <cellStyle name="Normal 2 4 5 2 3 3 4" xfId="9807" xr:uid="{2AC6EE1C-5296-4EEE-9B1E-562A8DC8A0FE}"/>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78" xr:uid="{BABDAC97-BC1E-48C7-841C-832F4EE839CF}"/>
    <cellStyle name="Normal 2 4 5 2 3 4 2 3" xfId="12365" xr:uid="{B8D4D1A5-3714-40A3-A73F-926C29B0B5DB}"/>
    <cellStyle name="Normal 2 4 5 2 3 4 3" xfId="5938" xr:uid="{00000000-0005-0000-0000-00006B100000}"/>
    <cellStyle name="Normal 2 4 5 2 3 4 3 2" xfId="14433" xr:uid="{9DD253C6-D65A-4A5F-81B9-F81EAF5513F8}"/>
    <cellStyle name="Normal 2 4 5 2 3 4 4" xfId="10220" xr:uid="{0B5ADCA2-FD41-4874-9A76-27B74BA01CEC}"/>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91" xr:uid="{034A28FE-693D-4107-854E-2E03D2DD71D2}"/>
    <cellStyle name="Normal 2 4 5 2 3 5 2 3" xfId="12778" xr:uid="{00321FA7-4996-4D2A-8FBA-86FB49AED9A2}"/>
    <cellStyle name="Normal 2 4 5 2 3 5 3" xfId="6351" xr:uid="{00000000-0005-0000-0000-00006F100000}"/>
    <cellStyle name="Normal 2 4 5 2 3 5 3 2" xfId="14846" xr:uid="{22A199F7-967D-4D94-B895-D23F260DFC0E}"/>
    <cellStyle name="Normal 2 4 5 2 3 5 4" xfId="10633" xr:uid="{B9E7B520-2478-418D-B6D2-8FEDAFCAC6D4}"/>
    <cellStyle name="Normal 2 4 5 2 3 6" xfId="2481" xr:uid="{00000000-0005-0000-0000-000070100000}"/>
    <cellStyle name="Normal 2 4 5 2 3 6 2" xfId="6764" xr:uid="{00000000-0005-0000-0000-000071100000}"/>
    <cellStyle name="Normal 2 4 5 2 3 6 2 2" xfId="15259" xr:uid="{D5772956-E254-4C58-B52D-0CFEE6297CAB}"/>
    <cellStyle name="Normal 2 4 5 2 3 6 3" xfId="11046" xr:uid="{F6E74254-2760-4CFB-9C49-C28CDF48C212}"/>
    <cellStyle name="Normal 2 4 5 2 3 7" xfId="4698" xr:uid="{00000000-0005-0000-0000-000072100000}"/>
    <cellStyle name="Normal 2 4 5 2 3 7 2" xfId="13194" xr:uid="{41CD0976-19EE-42E9-A238-BDF6768D0047}"/>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49" xr:uid="{EDB968D7-ECE8-4914-AAEB-61C5D1872A3B}"/>
    <cellStyle name="Normal 2 4 5 2 4 2 3" xfId="11536" xr:uid="{88445F00-05D2-4D78-BF5A-8EBF0AF0559D}"/>
    <cellStyle name="Normal 2 4 5 2 4 3" xfId="5109" xr:uid="{00000000-0005-0000-0000-000076100000}"/>
    <cellStyle name="Normal 2 4 5 2 4 3 2" xfId="13604" xr:uid="{98C2AB65-92BB-48F5-B173-6B63DEE04A46}"/>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62" xr:uid="{59CB24ED-EBF0-4404-AAE6-ECCB3B900489}"/>
    <cellStyle name="Normal 2 4 5 2 5 2 3" xfId="11949" xr:uid="{8537B183-B0EE-40C8-9885-477339A6643B}"/>
    <cellStyle name="Normal 2 4 5 2 5 3" xfId="5522" xr:uid="{00000000-0005-0000-0000-00007A100000}"/>
    <cellStyle name="Normal 2 4 5 2 5 3 2" xfId="14017" xr:uid="{7F517498-84B1-407E-8FF0-1B9B9CA664CE}"/>
    <cellStyle name="Normal 2 4 5 2 5 4" xfId="9804" xr:uid="{57229706-9DB6-4DB7-BD2A-CD80A4706A3A}"/>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75" xr:uid="{9C054416-CF53-4208-A477-234C2851793B}"/>
    <cellStyle name="Normal 2 4 5 2 6 2 3" xfId="12362" xr:uid="{05E84D3D-804C-431D-80FC-F4751A450BC1}"/>
    <cellStyle name="Normal 2 4 5 2 6 3" xfId="5935" xr:uid="{00000000-0005-0000-0000-00007E100000}"/>
    <cellStyle name="Normal 2 4 5 2 6 3 2" xfId="14430" xr:uid="{4D607E81-00F0-4390-ABEF-DFAB34472C83}"/>
    <cellStyle name="Normal 2 4 5 2 6 4" xfId="10217" xr:uid="{B56CB3E3-1F53-4727-AD36-593B6DFE97A2}"/>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88" xr:uid="{5399D86E-4594-4CEA-84D8-627948FD0B2D}"/>
    <cellStyle name="Normal 2 4 5 2 7 2 3" xfId="12775" xr:uid="{0D28DB88-E777-449A-A1B1-DB6CFACD85C2}"/>
    <cellStyle name="Normal 2 4 5 2 7 3" xfId="6348" xr:uid="{00000000-0005-0000-0000-000082100000}"/>
    <cellStyle name="Normal 2 4 5 2 7 3 2" xfId="14843" xr:uid="{8EE57B54-7928-4813-96A2-4AF60C2BEEC8}"/>
    <cellStyle name="Normal 2 4 5 2 7 4" xfId="10630" xr:uid="{E24DD7D2-961A-4318-80C0-ADE0038E7701}"/>
    <cellStyle name="Normal 2 4 5 2 8" xfId="2478" xr:uid="{00000000-0005-0000-0000-000083100000}"/>
    <cellStyle name="Normal 2 4 5 2 8 2" xfId="6761" xr:uid="{00000000-0005-0000-0000-000084100000}"/>
    <cellStyle name="Normal 2 4 5 2 8 2 2" xfId="15256" xr:uid="{5934A3C6-4996-4144-9781-07275E42F6B1}"/>
    <cellStyle name="Normal 2 4 5 2 8 3" xfId="11043" xr:uid="{0FA22D19-6938-4A68-B611-91564F8B22C0}"/>
    <cellStyle name="Normal 2 4 5 2 9" xfId="4695" xr:uid="{00000000-0005-0000-0000-000085100000}"/>
    <cellStyle name="Normal 2 4 5 2 9 2" xfId="13191" xr:uid="{CB14E600-C6D7-456C-9F0A-48D0BCC903A2}"/>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54" xr:uid="{DBC342B5-9FF7-4BCA-94B1-30991FCD1E5A}"/>
    <cellStyle name="Normal 2 4 5 3 2 2 2 3" xfId="11541" xr:uid="{4064C285-966E-4CB1-BB58-A1A7774D6D51}"/>
    <cellStyle name="Normal 2 4 5 3 2 2 3" xfId="5114" xr:uid="{00000000-0005-0000-0000-00008B100000}"/>
    <cellStyle name="Normal 2 4 5 3 2 2 3 2" xfId="13609" xr:uid="{3FE0A80F-AB33-4384-9F0C-30678DF4D099}"/>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67" xr:uid="{27D30C3D-A665-4087-81F7-EFF23C80C06A}"/>
    <cellStyle name="Normal 2 4 5 3 2 3 2 3" xfId="11954" xr:uid="{901181FF-57FE-4EDD-A44D-FBE76E0D57A2}"/>
    <cellStyle name="Normal 2 4 5 3 2 3 3" xfId="5527" xr:uid="{00000000-0005-0000-0000-00008F100000}"/>
    <cellStyle name="Normal 2 4 5 3 2 3 3 2" xfId="14022" xr:uid="{752BD0EC-4573-4113-9877-6D2E00898B72}"/>
    <cellStyle name="Normal 2 4 5 3 2 3 4" xfId="9809" xr:uid="{4D7BF2BD-DCB3-486B-94CC-D3047AD6559E}"/>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80" xr:uid="{70BFE2C3-71E3-45E4-A8FB-E3FF037651D8}"/>
    <cellStyle name="Normal 2 4 5 3 2 4 2 3" xfId="12367" xr:uid="{808A64B2-AA85-4606-AE10-53748C769F23}"/>
    <cellStyle name="Normal 2 4 5 3 2 4 3" xfId="5940" xr:uid="{00000000-0005-0000-0000-000093100000}"/>
    <cellStyle name="Normal 2 4 5 3 2 4 3 2" xfId="14435" xr:uid="{D4EC164C-B97F-420F-A047-307FB98A903D}"/>
    <cellStyle name="Normal 2 4 5 3 2 4 4" xfId="10222" xr:uid="{17F379D0-1BC5-4CF3-B063-B89602F09BEA}"/>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93" xr:uid="{EB1571B2-80CA-4A8D-96BA-C24901B8EDD9}"/>
    <cellStyle name="Normal 2 4 5 3 2 5 2 3" xfId="12780" xr:uid="{2918099A-CC30-48FD-A196-2DBD814186BC}"/>
    <cellStyle name="Normal 2 4 5 3 2 5 3" xfId="6353" xr:uid="{00000000-0005-0000-0000-000097100000}"/>
    <cellStyle name="Normal 2 4 5 3 2 5 3 2" xfId="14848" xr:uid="{A34D6944-9994-4D36-BC74-EAE72CC4AC98}"/>
    <cellStyle name="Normal 2 4 5 3 2 5 4" xfId="10635" xr:uid="{795D6E0B-E936-4907-9656-B0317AFDB7CC}"/>
    <cellStyle name="Normal 2 4 5 3 2 6" xfId="2483" xr:uid="{00000000-0005-0000-0000-000098100000}"/>
    <cellStyle name="Normal 2 4 5 3 2 6 2" xfId="6766" xr:uid="{00000000-0005-0000-0000-000099100000}"/>
    <cellStyle name="Normal 2 4 5 3 2 6 2 2" xfId="15261" xr:uid="{6899E190-DD88-45D6-9E9F-F166B8397479}"/>
    <cellStyle name="Normal 2 4 5 3 2 6 3" xfId="11048" xr:uid="{4B7627D5-51D8-4145-8D7E-0D73D6FBF6F1}"/>
    <cellStyle name="Normal 2 4 5 3 2 7" xfId="4700" xr:uid="{00000000-0005-0000-0000-00009A100000}"/>
    <cellStyle name="Normal 2 4 5 3 2 7 2" xfId="13196" xr:uid="{6A15A62F-21C2-4CF8-B74D-D7DDE721B449}"/>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53" xr:uid="{CEEF3243-9217-4E8E-9A45-60F4C17018DD}"/>
    <cellStyle name="Normal 2 4 5 3 3 2 3" xfId="11540" xr:uid="{C5406CFD-4493-4072-AE0F-15A6AB0356D2}"/>
    <cellStyle name="Normal 2 4 5 3 3 3" xfId="5113" xr:uid="{00000000-0005-0000-0000-00009E100000}"/>
    <cellStyle name="Normal 2 4 5 3 3 3 2" xfId="13608" xr:uid="{354FB37C-3B44-45E9-980C-41214645B50D}"/>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66" xr:uid="{709FC60F-E72D-4D79-B6B7-4FFF7BB09D5F}"/>
    <cellStyle name="Normal 2 4 5 3 4 2 3" xfId="11953" xr:uid="{DE71C326-EA42-4F29-8E47-5FCABB1FAF56}"/>
    <cellStyle name="Normal 2 4 5 3 4 3" xfId="5526" xr:uid="{00000000-0005-0000-0000-0000A2100000}"/>
    <cellStyle name="Normal 2 4 5 3 4 3 2" xfId="14021" xr:uid="{81CA4DE6-C067-4FC5-AB85-95EB0ED1C3A4}"/>
    <cellStyle name="Normal 2 4 5 3 4 4" xfId="9808" xr:uid="{3BCA2033-CF6E-426D-BD87-AB32AA21B503}"/>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79" xr:uid="{FABC8E9E-F865-4DA5-A8A8-7EB1D943782D}"/>
    <cellStyle name="Normal 2 4 5 3 5 2 3" xfId="12366" xr:uid="{7B8022BF-9536-41AB-AAB8-2742212740F9}"/>
    <cellStyle name="Normal 2 4 5 3 5 3" xfId="5939" xr:uid="{00000000-0005-0000-0000-0000A6100000}"/>
    <cellStyle name="Normal 2 4 5 3 5 3 2" xfId="14434" xr:uid="{38C411ED-5E1B-4964-A1D5-B946A704E607}"/>
    <cellStyle name="Normal 2 4 5 3 5 4" xfId="10221" xr:uid="{D540A8FC-D774-4C6F-AF8C-FD7691ACC77E}"/>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92" xr:uid="{F99A82A7-1361-4D3E-A3F6-B851EA36E193}"/>
    <cellStyle name="Normal 2 4 5 3 6 2 3" xfId="12779" xr:uid="{A6AF6BE3-53F3-4F0D-ABCF-33121269FBB7}"/>
    <cellStyle name="Normal 2 4 5 3 6 3" xfId="6352" xr:uid="{00000000-0005-0000-0000-0000AA100000}"/>
    <cellStyle name="Normal 2 4 5 3 6 3 2" xfId="14847" xr:uid="{0F95CAA0-28B4-4B4A-AA5B-25D00633CBE0}"/>
    <cellStyle name="Normal 2 4 5 3 6 4" xfId="10634" xr:uid="{35B8CA4B-27F9-4DAE-A76A-48CE371AE79D}"/>
    <cellStyle name="Normal 2 4 5 3 7" xfId="2482" xr:uid="{00000000-0005-0000-0000-0000AB100000}"/>
    <cellStyle name="Normal 2 4 5 3 7 2" xfId="6765" xr:uid="{00000000-0005-0000-0000-0000AC100000}"/>
    <cellStyle name="Normal 2 4 5 3 7 2 2" xfId="15260" xr:uid="{9E71F8C6-2B49-42F5-91CE-69C9D2E0F018}"/>
    <cellStyle name="Normal 2 4 5 3 7 3" xfId="11047" xr:uid="{D61EF827-A325-4B77-84BB-A455FE80481C}"/>
    <cellStyle name="Normal 2 4 5 3 8" xfId="4699" xr:uid="{00000000-0005-0000-0000-0000AD100000}"/>
    <cellStyle name="Normal 2 4 5 3 8 2" xfId="13195" xr:uid="{3F748961-6DAC-4029-8041-19CA30E6E29B}"/>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55" xr:uid="{0B9F7165-4CF6-4258-A721-CC6339E20A3D}"/>
    <cellStyle name="Normal 2 4 5 4 2 2 3" xfId="11542" xr:uid="{9E35E4A5-70EC-4D7C-8D28-A532FA595662}"/>
    <cellStyle name="Normal 2 4 5 4 2 3" xfId="5115" xr:uid="{00000000-0005-0000-0000-0000B2100000}"/>
    <cellStyle name="Normal 2 4 5 4 2 3 2" xfId="13610" xr:uid="{1B701E9D-AF6F-464C-95CD-DF3BEA657434}"/>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68" xr:uid="{6B0E4634-5E8F-476D-8738-354753247C4F}"/>
    <cellStyle name="Normal 2 4 5 4 3 2 3" xfId="11955" xr:uid="{B114C8D8-0B23-418F-93B4-494E418CF692}"/>
    <cellStyle name="Normal 2 4 5 4 3 3" xfId="5528" xr:uid="{00000000-0005-0000-0000-0000B6100000}"/>
    <cellStyle name="Normal 2 4 5 4 3 3 2" xfId="14023" xr:uid="{2A3B9BCA-C7BE-4A56-96B8-D201E5801E58}"/>
    <cellStyle name="Normal 2 4 5 4 3 4" xfId="9810" xr:uid="{1D0C6632-9FA5-42C2-8F65-0963C077720E}"/>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81" xr:uid="{7ECF807D-FB33-4AD4-BB3C-3323C9CD2AEA}"/>
    <cellStyle name="Normal 2 4 5 4 4 2 3" xfId="12368" xr:uid="{4708AB23-1F87-42B4-829C-21939D141A5E}"/>
    <cellStyle name="Normal 2 4 5 4 4 3" xfId="5941" xr:uid="{00000000-0005-0000-0000-0000BA100000}"/>
    <cellStyle name="Normal 2 4 5 4 4 3 2" xfId="14436" xr:uid="{C352308A-90D4-491A-8293-BE29A388E371}"/>
    <cellStyle name="Normal 2 4 5 4 4 4" xfId="10223" xr:uid="{F71AB7AD-701D-46D4-A436-96805C2BF5E9}"/>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94" xr:uid="{70085C70-BE69-45FD-B99E-CBFA5EC06149}"/>
    <cellStyle name="Normal 2 4 5 4 5 2 3" xfId="12781" xr:uid="{A3CC0C93-BC78-422E-828B-6EDE4B5AC40A}"/>
    <cellStyle name="Normal 2 4 5 4 5 3" xfId="6354" xr:uid="{00000000-0005-0000-0000-0000BE100000}"/>
    <cellStyle name="Normal 2 4 5 4 5 3 2" xfId="14849" xr:uid="{C8E06BE2-0407-41AD-8A47-9327A33381D5}"/>
    <cellStyle name="Normal 2 4 5 4 5 4" xfId="10636" xr:uid="{190927AB-8020-4E9A-A5FA-8D1EEF79F02E}"/>
    <cellStyle name="Normal 2 4 5 4 6" xfId="2484" xr:uid="{00000000-0005-0000-0000-0000BF100000}"/>
    <cellStyle name="Normal 2 4 5 4 6 2" xfId="6767" xr:uid="{00000000-0005-0000-0000-0000C0100000}"/>
    <cellStyle name="Normal 2 4 5 4 6 2 2" xfId="15262" xr:uid="{BBFCDFA9-5D0F-404E-A6E0-51B8A64EC1E0}"/>
    <cellStyle name="Normal 2 4 5 4 6 3" xfId="11049" xr:uid="{C4D7C911-458C-42D3-848F-680CAA7D1C98}"/>
    <cellStyle name="Normal 2 4 5 4 7" xfId="4701" xr:uid="{00000000-0005-0000-0000-0000C1100000}"/>
    <cellStyle name="Normal 2 4 5 4 7 2" xfId="13197" xr:uid="{1D202237-ADB5-493C-BF82-34F841B80393}"/>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2 2 2" xfId="15748" xr:uid="{45EDAC29-0277-4F44-B4B5-74D522B6E02F}"/>
    <cellStyle name="Normal 2 4 5 5 2 3" xfId="11535" xr:uid="{30688819-F4D4-4ACD-8461-3A0DFB427655}"/>
    <cellStyle name="Normal 2 4 5 5 3" xfId="5108" xr:uid="{00000000-0005-0000-0000-0000C5100000}"/>
    <cellStyle name="Normal 2 4 5 5 3 2" xfId="13603" xr:uid="{410C89DA-6EBD-4B35-B530-3112F7D77DCF}"/>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2 2 2" xfId="16161" xr:uid="{F6AA3A68-2A1C-479F-9F19-F110C18C6988}"/>
    <cellStyle name="Normal 2 4 5 6 2 3" xfId="11948" xr:uid="{4F2D72C4-6E3E-456F-B10E-E883245302F6}"/>
    <cellStyle name="Normal 2 4 5 6 3" xfId="5521" xr:uid="{00000000-0005-0000-0000-0000C9100000}"/>
    <cellStyle name="Normal 2 4 5 6 3 2" xfId="14016" xr:uid="{6946D92B-5522-4B77-BEF6-5C7DEFA01E45}"/>
    <cellStyle name="Normal 2 4 5 6 4" xfId="9803" xr:uid="{DC89355D-F211-4770-915E-0ACA6C638551}"/>
    <cellStyle name="Normal 2 4 5 7" xfId="1627" xr:uid="{00000000-0005-0000-0000-0000CA100000}"/>
    <cellStyle name="Normal 2 4 5 7 2" xfId="3857" xr:uid="{00000000-0005-0000-0000-0000CB100000}"/>
    <cellStyle name="Normal 2 4 5 7 2 2" xfId="8079" xr:uid="{00000000-0005-0000-0000-0000CC100000}"/>
    <cellStyle name="Normal 2 4 5 7 2 2 2" xfId="16574" xr:uid="{D8FA08B6-536B-44CB-801C-3F99BAAB19D7}"/>
    <cellStyle name="Normal 2 4 5 7 2 3" xfId="12361" xr:uid="{A51412BE-81DF-496D-84C4-6AA0A7FDAFA1}"/>
    <cellStyle name="Normal 2 4 5 7 3" xfId="5934" xr:uid="{00000000-0005-0000-0000-0000CD100000}"/>
    <cellStyle name="Normal 2 4 5 7 3 2" xfId="14429" xr:uid="{C38C2B46-A8ED-4FC4-91BC-5A902DACCA71}"/>
    <cellStyle name="Normal 2 4 5 7 4" xfId="10216" xr:uid="{713BE24F-6556-406B-91A7-9454448402A6}"/>
    <cellStyle name="Normal 2 4 5 8" xfId="2041" xr:uid="{00000000-0005-0000-0000-0000CE100000}"/>
    <cellStyle name="Normal 2 4 5 8 2" xfId="4270" xr:uid="{00000000-0005-0000-0000-0000CF100000}"/>
    <cellStyle name="Normal 2 4 5 8 2 2" xfId="8492" xr:uid="{00000000-0005-0000-0000-0000D0100000}"/>
    <cellStyle name="Normal 2 4 5 8 2 2 2" xfId="16987" xr:uid="{5E06E213-DB7B-4E82-A7EA-56E4ED05458E}"/>
    <cellStyle name="Normal 2 4 5 8 2 3" xfId="12774" xr:uid="{FFBE8715-C71D-483C-B833-BE2B35C2924E}"/>
    <cellStyle name="Normal 2 4 5 8 3" xfId="6347" xr:uid="{00000000-0005-0000-0000-0000D1100000}"/>
    <cellStyle name="Normal 2 4 5 8 3 2" xfId="14842" xr:uid="{6A5C441E-7429-4027-A443-77DE7D44F9DD}"/>
    <cellStyle name="Normal 2 4 5 8 4" xfId="10629" xr:uid="{369B2F51-4E0C-4E95-8F72-28690664CAF7}"/>
    <cellStyle name="Normal 2 4 5 9" xfId="2477" xr:uid="{00000000-0005-0000-0000-0000D2100000}"/>
    <cellStyle name="Normal 2 4 5 9 2" xfId="6760" xr:uid="{00000000-0005-0000-0000-0000D3100000}"/>
    <cellStyle name="Normal 2 4 5 9 2 2" xfId="15255" xr:uid="{B0F4DEA6-51E7-4F61-99B4-A873C2BA1BB4}"/>
    <cellStyle name="Normal 2 4 5 9 3" xfId="11042" xr:uid="{9E58E7D9-25B9-46D3-AF2F-94CCD906915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57" xr:uid="{6423871B-98E7-4C2C-A948-44F685538458}"/>
    <cellStyle name="Normal 2 4 7 2 2 2 3" xfId="11544" xr:uid="{1B172230-7916-4018-A4F2-F4D81F323468}"/>
    <cellStyle name="Normal 2 4 7 2 2 3" xfId="5117" xr:uid="{00000000-0005-0000-0000-0000DA100000}"/>
    <cellStyle name="Normal 2 4 7 2 2 3 2" xfId="13612" xr:uid="{A36DCC23-4AFE-45A4-AE12-4436D3CE8077}"/>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70" xr:uid="{A701E05E-6C7D-42F3-923E-9B666F5378F2}"/>
    <cellStyle name="Normal 2 4 7 2 3 2 3" xfId="11957" xr:uid="{CDC4F4A1-8A3C-4A57-878D-20AAACC0D0E8}"/>
    <cellStyle name="Normal 2 4 7 2 3 3" xfId="5530" xr:uid="{00000000-0005-0000-0000-0000DE100000}"/>
    <cellStyle name="Normal 2 4 7 2 3 3 2" xfId="14025" xr:uid="{8E60679C-A778-4AA5-81BC-0CB0DAA27CE2}"/>
    <cellStyle name="Normal 2 4 7 2 3 4" xfId="9812" xr:uid="{770F9AA0-EC1D-4469-8CE8-60218A11C164}"/>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83" xr:uid="{37D721F6-2227-44D5-8A54-553DEAD8F8C6}"/>
    <cellStyle name="Normal 2 4 7 2 4 2 3" xfId="12370" xr:uid="{96F260EB-FE8C-4C36-9F69-2E82FBD2978A}"/>
    <cellStyle name="Normal 2 4 7 2 4 3" xfId="5943" xr:uid="{00000000-0005-0000-0000-0000E2100000}"/>
    <cellStyle name="Normal 2 4 7 2 4 3 2" xfId="14438" xr:uid="{AEED5F24-74FE-42E7-8AB2-70A6109B84CB}"/>
    <cellStyle name="Normal 2 4 7 2 4 4" xfId="10225" xr:uid="{EC180D71-4C35-4791-A891-07DA9817A37D}"/>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96" xr:uid="{67DBDE69-FE31-4ACD-AAB5-406813079095}"/>
    <cellStyle name="Normal 2 4 7 2 5 2 3" xfId="12783" xr:uid="{510B53D4-6BD9-42FF-906A-F99EE43F3A88}"/>
    <cellStyle name="Normal 2 4 7 2 5 3" xfId="6356" xr:uid="{00000000-0005-0000-0000-0000E6100000}"/>
    <cellStyle name="Normal 2 4 7 2 5 3 2" xfId="14851" xr:uid="{76BCFC10-00FC-4B14-8712-5D4EB5C4F3C0}"/>
    <cellStyle name="Normal 2 4 7 2 5 4" xfId="10638" xr:uid="{1C85E2D8-2CEF-4CE9-91FD-F7BCE63B7850}"/>
    <cellStyle name="Normal 2 4 7 2 6" xfId="2486" xr:uid="{00000000-0005-0000-0000-0000E7100000}"/>
    <cellStyle name="Normal 2 4 7 2 6 2" xfId="6769" xr:uid="{00000000-0005-0000-0000-0000E8100000}"/>
    <cellStyle name="Normal 2 4 7 2 6 2 2" xfId="15264" xr:uid="{670BAFE3-D56D-418E-8A79-4E07A9DCA0F6}"/>
    <cellStyle name="Normal 2 4 7 2 6 3" xfId="11051" xr:uid="{4D4E461E-5184-4E08-82ED-453DFF5392ED}"/>
    <cellStyle name="Normal 2 4 7 2 7" xfId="4703" xr:uid="{00000000-0005-0000-0000-0000E9100000}"/>
    <cellStyle name="Normal 2 4 7 2 7 2" xfId="13199" xr:uid="{07AEBD0E-A74C-4B33-992F-F9156232D594}"/>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2 2 2" xfId="15756" xr:uid="{56460D8D-1DBD-46F8-B26E-F6CD3D021D98}"/>
    <cellStyle name="Normal 2 4 7 3 2 3" xfId="11543" xr:uid="{E5070D0E-7340-4F2C-8B3C-816FE05DDE2B}"/>
    <cellStyle name="Normal 2 4 7 3 3" xfId="5116" xr:uid="{00000000-0005-0000-0000-0000ED100000}"/>
    <cellStyle name="Normal 2 4 7 3 3 2" xfId="13611" xr:uid="{CCF5197E-5694-44E3-A70F-7BE8428538A8}"/>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2 2 2" xfId="16169" xr:uid="{0188AE2F-ACE5-41F9-A3EC-8D0914ECCA62}"/>
    <cellStyle name="Normal 2 4 7 4 2 3" xfId="11956" xr:uid="{72BED13F-5123-43CB-A02A-4EEAE571C724}"/>
    <cellStyle name="Normal 2 4 7 4 3" xfId="5529" xr:uid="{00000000-0005-0000-0000-0000F1100000}"/>
    <cellStyle name="Normal 2 4 7 4 3 2" xfId="14024" xr:uid="{14AB0D02-C756-4909-A8C4-E0A018AD3649}"/>
    <cellStyle name="Normal 2 4 7 4 4" xfId="9811" xr:uid="{2CEB7ADC-3423-4BC7-8DBC-597B3AB41C9C}"/>
    <cellStyle name="Normal 2 4 7 5" xfId="1635" xr:uid="{00000000-0005-0000-0000-0000F2100000}"/>
    <cellStyle name="Normal 2 4 7 5 2" xfId="3865" xr:uid="{00000000-0005-0000-0000-0000F3100000}"/>
    <cellStyle name="Normal 2 4 7 5 2 2" xfId="8087" xr:uid="{00000000-0005-0000-0000-0000F4100000}"/>
    <cellStyle name="Normal 2 4 7 5 2 2 2" xfId="16582" xr:uid="{04F6A40E-64AC-4F07-9104-276B2920216F}"/>
    <cellStyle name="Normal 2 4 7 5 2 3" xfId="12369" xr:uid="{575864F1-292B-4673-A15C-9412F6D17456}"/>
    <cellStyle name="Normal 2 4 7 5 3" xfId="5942" xr:uid="{00000000-0005-0000-0000-0000F5100000}"/>
    <cellStyle name="Normal 2 4 7 5 3 2" xfId="14437" xr:uid="{5BEEC9A5-A3D0-412B-8AA1-0CD3C6FD45BB}"/>
    <cellStyle name="Normal 2 4 7 5 4" xfId="10224" xr:uid="{50518769-0FE4-4F91-952C-EB9E5FA07A85}"/>
    <cellStyle name="Normal 2 4 7 6" xfId="2049" xr:uid="{00000000-0005-0000-0000-0000F6100000}"/>
    <cellStyle name="Normal 2 4 7 6 2" xfId="4278" xr:uid="{00000000-0005-0000-0000-0000F7100000}"/>
    <cellStyle name="Normal 2 4 7 6 2 2" xfId="8500" xr:uid="{00000000-0005-0000-0000-0000F8100000}"/>
    <cellStyle name="Normal 2 4 7 6 2 2 2" xfId="16995" xr:uid="{E60CD1A2-7290-49AD-8AF9-0620208AA362}"/>
    <cellStyle name="Normal 2 4 7 6 2 3" xfId="12782" xr:uid="{0EDD3558-756A-414B-9992-32CE614B843B}"/>
    <cellStyle name="Normal 2 4 7 6 3" xfId="6355" xr:uid="{00000000-0005-0000-0000-0000F9100000}"/>
    <cellStyle name="Normal 2 4 7 6 3 2" xfId="14850" xr:uid="{AB0FB5EB-65FE-4BC1-8CEA-B351667C9E41}"/>
    <cellStyle name="Normal 2 4 7 6 4" xfId="10637" xr:uid="{41687E76-F44A-4BD3-8CF0-62578D1C9667}"/>
    <cellStyle name="Normal 2 4 7 7" xfId="2485" xr:uid="{00000000-0005-0000-0000-0000FA100000}"/>
    <cellStyle name="Normal 2 4 7 7 2" xfId="6768" xr:uid="{00000000-0005-0000-0000-0000FB100000}"/>
    <cellStyle name="Normal 2 4 7 7 2 2" xfId="15263" xr:uid="{EDEFAEF1-7604-4633-A3CF-F1EC52FC33FA}"/>
    <cellStyle name="Normal 2 4 7 7 3" xfId="11050" xr:uid="{15F65D19-4024-4289-97AA-8B3C6EBC2F0F}"/>
    <cellStyle name="Normal 2 4 7 8" xfId="4702" xr:uid="{00000000-0005-0000-0000-0000FC100000}"/>
    <cellStyle name="Normal 2 4 7 8 2" xfId="13198" xr:uid="{5709378E-D5A0-4B40-96A9-013BD99613F9}"/>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58" xr:uid="{939FF914-4A83-45E0-B988-BEC0320AC6D2}"/>
    <cellStyle name="Normal 2 4 8 2 2 3" xfId="11545" xr:uid="{8E72E638-B49C-4A88-98F7-1BCC3B4A41D4}"/>
    <cellStyle name="Normal 2 4 8 2 3" xfId="5118" xr:uid="{00000000-0005-0000-0000-000001110000}"/>
    <cellStyle name="Normal 2 4 8 2 3 2" xfId="13613" xr:uid="{44FCA4A3-0536-4A6A-BF13-894874E632E1}"/>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2 2 2" xfId="16171" xr:uid="{FAB9449B-7864-4822-9F57-03126C68BD64}"/>
    <cellStyle name="Normal 2 4 8 3 2 3" xfId="11958" xr:uid="{DAB06564-BF8D-4178-B8A1-58BD6FCA2F7B}"/>
    <cellStyle name="Normal 2 4 8 3 3" xfId="5531" xr:uid="{00000000-0005-0000-0000-000005110000}"/>
    <cellStyle name="Normal 2 4 8 3 3 2" xfId="14026" xr:uid="{888C9C7C-0122-404E-8B58-161963D94FBE}"/>
    <cellStyle name="Normal 2 4 8 3 4" xfId="9813" xr:uid="{398D6CD3-05F3-4E5A-96C9-430D32B7CAD2}"/>
    <cellStyle name="Normal 2 4 8 4" xfId="1637" xr:uid="{00000000-0005-0000-0000-000006110000}"/>
    <cellStyle name="Normal 2 4 8 4 2" xfId="3867" xr:uid="{00000000-0005-0000-0000-000007110000}"/>
    <cellStyle name="Normal 2 4 8 4 2 2" xfId="8089" xr:uid="{00000000-0005-0000-0000-000008110000}"/>
    <cellStyle name="Normal 2 4 8 4 2 2 2" xfId="16584" xr:uid="{89B9F942-9AF3-4705-A18B-831D683C1A2F}"/>
    <cellStyle name="Normal 2 4 8 4 2 3" xfId="12371" xr:uid="{EE71E236-121F-4B67-9822-9EBD6976C256}"/>
    <cellStyle name="Normal 2 4 8 4 3" xfId="5944" xr:uid="{00000000-0005-0000-0000-000009110000}"/>
    <cellStyle name="Normal 2 4 8 4 3 2" xfId="14439" xr:uid="{90665BB6-FECC-483B-9C73-C28A636EA7BF}"/>
    <cellStyle name="Normal 2 4 8 4 4" xfId="10226" xr:uid="{75F1FE40-043D-4033-B029-390B4897ED2D}"/>
    <cellStyle name="Normal 2 4 8 5" xfId="2051" xr:uid="{00000000-0005-0000-0000-00000A110000}"/>
    <cellStyle name="Normal 2 4 8 5 2" xfId="4280" xr:uid="{00000000-0005-0000-0000-00000B110000}"/>
    <cellStyle name="Normal 2 4 8 5 2 2" xfId="8502" xr:uid="{00000000-0005-0000-0000-00000C110000}"/>
    <cellStyle name="Normal 2 4 8 5 2 2 2" xfId="16997" xr:uid="{D7A66394-7BE1-4BAD-BF38-4E3723137FC8}"/>
    <cellStyle name="Normal 2 4 8 5 2 3" xfId="12784" xr:uid="{99AEF8A3-8535-4AC4-8C09-3A6ECE15B9A7}"/>
    <cellStyle name="Normal 2 4 8 5 3" xfId="6357" xr:uid="{00000000-0005-0000-0000-00000D110000}"/>
    <cellStyle name="Normal 2 4 8 5 3 2" xfId="14852" xr:uid="{7FDC82CF-5319-40A8-9FEC-602B7E19875B}"/>
    <cellStyle name="Normal 2 4 8 5 4" xfId="10639" xr:uid="{96B4922C-B00C-4FB7-8296-591E8E010ACA}"/>
    <cellStyle name="Normal 2 4 8 6" xfId="2487" xr:uid="{00000000-0005-0000-0000-00000E110000}"/>
    <cellStyle name="Normal 2 4 8 6 2" xfId="6770" xr:uid="{00000000-0005-0000-0000-00000F110000}"/>
    <cellStyle name="Normal 2 4 8 6 2 2" xfId="15265" xr:uid="{D3FA10B0-F5BD-4CD2-9B8C-D51FD10C07E0}"/>
    <cellStyle name="Normal 2 4 8 6 3" xfId="11052" xr:uid="{A46778DA-C5F7-4275-AE0C-6C865C3AD876}"/>
    <cellStyle name="Normal 2 4 8 7" xfId="4704" xr:uid="{00000000-0005-0000-0000-000010110000}"/>
    <cellStyle name="Normal 2 4 8 7 2" xfId="13200" xr:uid="{61AFCAB8-6124-4B59-88D7-AB0F95932458}"/>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10 2" xfId="13201" xr:uid="{90523048-8BB6-4B7A-8A8A-BD77CCCAAE13}"/>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62" xr:uid="{52F4515C-1A63-42B0-B3FE-A9AF88049ED8}"/>
    <cellStyle name="Normal 2 5 4 2 2 2 2 3" xfId="11549" xr:uid="{0257159E-5F03-4227-AAF6-4C2D218CD601}"/>
    <cellStyle name="Normal 2 5 4 2 2 2 3" xfId="5122" xr:uid="{00000000-0005-0000-0000-00001B110000}"/>
    <cellStyle name="Normal 2 5 4 2 2 2 3 2" xfId="13617" xr:uid="{036B8C74-59AE-4DED-AE62-B1B9EF88F4C8}"/>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75" xr:uid="{22750DC7-7A49-4EFB-ABCF-26FCD2C114ED}"/>
    <cellStyle name="Normal 2 5 4 2 2 3 2 3" xfId="11962" xr:uid="{8BAFABF0-973A-469E-B2A5-05922352FC4D}"/>
    <cellStyle name="Normal 2 5 4 2 2 3 3" xfId="5535" xr:uid="{00000000-0005-0000-0000-00001F110000}"/>
    <cellStyle name="Normal 2 5 4 2 2 3 3 2" xfId="14030" xr:uid="{5FA86026-280C-40D1-824D-6ADCE94B1131}"/>
    <cellStyle name="Normal 2 5 4 2 2 3 4" xfId="9817" xr:uid="{CED8A36A-870D-4869-BC3A-199C707606DE}"/>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88" xr:uid="{91C61F22-C5EB-4EB5-B1F5-C7D54639E41A}"/>
    <cellStyle name="Normal 2 5 4 2 2 4 2 3" xfId="12375" xr:uid="{5657B7DB-7BA6-4F0B-8CA6-B91717563141}"/>
    <cellStyle name="Normal 2 5 4 2 2 4 3" xfId="5948" xr:uid="{00000000-0005-0000-0000-000023110000}"/>
    <cellStyle name="Normal 2 5 4 2 2 4 3 2" xfId="14443" xr:uid="{0731A0F0-5CD6-4C7B-9FB2-5075B462B009}"/>
    <cellStyle name="Normal 2 5 4 2 2 4 4" xfId="10230" xr:uid="{A6A9B65D-A32D-42F6-91CD-B3568321C769}"/>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001" xr:uid="{D451DCEF-6B33-4924-964F-2474403E8950}"/>
    <cellStyle name="Normal 2 5 4 2 2 5 2 3" xfId="12788" xr:uid="{AE4F0C52-4BE0-4339-BE19-E1EA810071AF}"/>
    <cellStyle name="Normal 2 5 4 2 2 5 3" xfId="6361" xr:uid="{00000000-0005-0000-0000-000027110000}"/>
    <cellStyle name="Normal 2 5 4 2 2 5 3 2" xfId="14856" xr:uid="{CBA7601E-ABA0-4261-B9B3-38E8B348848E}"/>
    <cellStyle name="Normal 2 5 4 2 2 5 4" xfId="10643" xr:uid="{BD5133BA-72F9-4494-A366-A8D9A90BCECA}"/>
    <cellStyle name="Normal 2 5 4 2 2 6" xfId="2491" xr:uid="{00000000-0005-0000-0000-000028110000}"/>
    <cellStyle name="Normal 2 5 4 2 2 6 2" xfId="6774" xr:uid="{00000000-0005-0000-0000-000029110000}"/>
    <cellStyle name="Normal 2 5 4 2 2 6 2 2" xfId="15269" xr:uid="{1DE6835E-2CE3-41E0-9419-7BBBDC31B024}"/>
    <cellStyle name="Normal 2 5 4 2 2 6 3" xfId="11056" xr:uid="{E6F033F2-2C7E-4FD9-AA1A-E8A5CAE8B321}"/>
    <cellStyle name="Normal 2 5 4 2 2 7" xfId="4708" xr:uid="{00000000-0005-0000-0000-00002A110000}"/>
    <cellStyle name="Normal 2 5 4 2 2 7 2" xfId="13204" xr:uid="{DEDFE5CC-60F2-4EB5-AEA6-DFEBB7DDDA87}"/>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61" xr:uid="{C37B0FC6-5111-44AA-A2B8-6F9B1A893473}"/>
    <cellStyle name="Normal 2 5 4 2 3 2 3" xfId="11548" xr:uid="{868AE6D1-DB2A-49F5-841E-4E9CEF01547A}"/>
    <cellStyle name="Normal 2 5 4 2 3 3" xfId="5121" xr:uid="{00000000-0005-0000-0000-00002E110000}"/>
    <cellStyle name="Normal 2 5 4 2 3 3 2" xfId="13616" xr:uid="{1FC2FA68-A51B-448E-AE3E-E683504FBB6E}"/>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74" xr:uid="{2D8C42C8-3E47-4ADA-AAC0-F6817E78114A}"/>
    <cellStyle name="Normal 2 5 4 2 4 2 3" xfId="11961" xr:uid="{9550F661-44A3-46F4-BFEC-7C54119327FE}"/>
    <cellStyle name="Normal 2 5 4 2 4 3" xfId="5534" xr:uid="{00000000-0005-0000-0000-000032110000}"/>
    <cellStyle name="Normal 2 5 4 2 4 3 2" xfId="14029" xr:uid="{F4311159-47A9-47CD-9372-E2EC7FF81FB8}"/>
    <cellStyle name="Normal 2 5 4 2 4 4" xfId="9816" xr:uid="{FC8AF29D-2810-4CDB-B547-E0054DCD3951}"/>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87" xr:uid="{F3311899-02B2-4FBB-88E2-DF139627C42F}"/>
    <cellStyle name="Normal 2 5 4 2 5 2 3" xfId="12374" xr:uid="{012AF7C7-630D-4A59-81C7-2CDD77FEF3DB}"/>
    <cellStyle name="Normal 2 5 4 2 5 3" xfId="5947" xr:uid="{00000000-0005-0000-0000-000036110000}"/>
    <cellStyle name="Normal 2 5 4 2 5 3 2" xfId="14442" xr:uid="{A6496D2E-420B-49D4-8500-E7ECBC04EEFC}"/>
    <cellStyle name="Normal 2 5 4 2 5 4" xfId="10229" xr:uid="{9295C1D1-7DB6-419B-9FE3-011D52058B5D}"/>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000" xr:uid="{63FA1CBB-BC8B-41A0-A473-E4F65C2065EC}"/>
    <cellStyle name="Normal 2 5 4 2 6 2 3" xfId="12787" xr:uid="{BB84056B-FCA9-4896-BE74-BC8EC7BAD040}"/>
    <cellStyle name="Normal 2 5 4 2 6 3" xfId="6360" xr:uid="{00000000-0005-0000-0000-00003A110000}"/>
    <cellStyle name="Normal 2 5 4 2 6 3 2" xfId="14855" xr:uid="{05BE9821-BE9E-4809-9550-2BC6662F858F}"/>
    <cellStyle name="Normal 2 5 4 2 6 4" xfId="10642" xr:uid="{EF952290-54DF-4266-B280-FD9C50DE43A5}"/>
    <cellStyle name="Normal 2 5 4 2 7" xfId="2490" xr:uid="{00000000-0005-0000-0000-00003B110000}"/>
    <cellStyle name="Normal 2 5 4 2 7 2" xfId="6773" xr:uid="{00000000-0005-0000-0000-00003C110000}"/>
    <cellStyle name="Normal 2 5 4 2 7 2 2" xfId="15268" xr:uid="{D4DD8800-D4AF-419F-9D13-00B0E6EACA84}"/>
    <cellStyle name="Normal 2 5 4 2 7 3" xfId="11055" xr:uid="{A803F75F-107A-424C-8A3E-3CCA0F7F1891}"/>
    <cellStyle name="Normal 2 5 4 2 8" xfId="4707" xr:uid="{00000000-0005-0000-0000-00003D110000}"/>
    <cellStyle name="Normal 2 5 4 2 8 2" xfId="13203" xr:uid="{D3F4898C-4FD4-4665-AE22-303A26C46F9F}"/>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63" xr:uid="{18073676-9AD5-47CE-B7D1-3F906E9D737D}"/>
    <cellStyle name="Normal 2 5 4 3 2 2 3" xfId="11550" xr:uid="{07449868-0A76-493E-AFDD-4BC5FE4BD4BD}"/>
    <cellStyle name="Normal 2 5 4 3 2 3" xfId="5123" xr:uid="{00000000-0005-0000-0000-000042110000}"/>
    <cellStyle name="Normal 2 5 4 3 2 3 2" xfId="13618" xr:uid="{C4A3C9B4-7FAD-436E-8F72-1679B6B5B9EA}"/>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76" xr:uid="{49AED091-97BC-4C6F-9341-1C72B23E28FD}"/>
    <cellStyle name="Normal 2 5 4 3 3 2 3" xfId="11963" xr:uid="{EDD4CD70-4FFD-4754-A1C4-1690F96F9612}"/>
    <cellStyle name="Normal 2 5 4 3 3 3" xfId="5536" xr:uid="{00000000-0005-0000-0000-000046110000}"/>
    <cellStyle name="Normal 2 5 4 3 3 3 2" xfId="14031" xr:uid="{34B36B15-77BE-4702-9B5F-91E6A1357B89}"/>
    <cellStyle name="Normal 2 5 4 3 3 4" xfId="9818" xr:uid="{8D27B7CA-D4A3-420F-8D5D-56998509ED5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89" xr:uid="{0AF09B18-FD86-41C7-AD40-B05F28873603}"/>
    <cellStyle name="Normal 2 5 4 3 4 2 3" xfId="12376" xr:uid="{6636E64E-766F-4DE7-A5C5-1EDD5C4A7CD6}"/>
    <cellStyle name="Normal 2 5 4 3 4 3" xfId="5949" xr:uid="{00000000-0005-0000-0000-00004A110000}"/>
    <cellStyle name="Normal 2 5 4 3 4 3 2" xfId="14444" xr:uid="{2C80D371-59E7-4A7B-95C4-A3962D800D33}"/>
    <cellStyle name="Normal 2 5 4 3 4 4" xfId="10231" xr:uid="{F44C140D-B315-466D-9BF4-2D762BFC2B7F}"/>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002" xr:uid="{745EE0C8-6D65-4920-A627-FB6F17236B99}"/>
    <cellStyle name="Normal 2 5 4 3 5 2 3" xfId="12789" xr:uid="{21B9EABA-7240-40DD-8E4A-4E49E52882F7}"/>
    <cellStyle name="Normal 2 5 4 3 5 3" xfId="6362" xr:uid="{00000000-0005-0000-0000-00004E110000}"/>
    <cellStyle name="Normal 2 5 4 3 5 3 2" xfId="14857" xr:uid="{3DCF7D3C-5FE6-4967-805A-04022135B143}"/>
    <cellStyle name="Normal 2 5 4 3 5 4" xfId="10644" xr:uid="{4F2C0335-C91D-4548-9F1A-3CC4B8AE8F54}"/>
    <cellStyle name="Normal 2 5 4 3 6" xfId="2492" xr:uid="{00000000-0005-0000-0000-00004F110000}"/>
    <cellStyle name="Normal 2 5 4 3 6 2" xfId="6775" xr:uid="{00000000-0005-0000-0000-000050110000}"/>
    <cellStyle name="Normal 2 5 4 3 6 2 2" xfId="15270" xr:uid="{000A8380-021F-48A1-84AE-7964A8CBEF24}"/>
    <cellStyle name="Normal 2 5 4 3 6 3" xfId="11057" xr:uid="{B6C89C47-5BA2-4B90-89C7-C78B3EA1060E}"/>
    <cellStyle name="Normal 2 5 4 3 7" xfId="4709" xr:uid="{00000000-0005-0000-0000-000051110000}"/>
    <cellStyle name="Normal 2 5 4 3 7 2" xfId="13205" xr:uid="{7CF3529B-5367-4A64-B1E4-0681C8CBD05B}"/>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2 2 2" xfId="15760" xr:uid="{2C133F25-FECE-4DE2-9DD9-6E2AA326ED31}"/>
    <cellStyle name="Normal 2 5 4 4 2 3" xfId="11547" xr:uid="{7C75B76C-FB6E-49AA-BD45-1950450B2DDD}"/>
    <cellStyle name="Normal 2 5 4 4 3" xfId="5120" xr:uid="{00000000-0005-0000-0000-000055110000}"/>
    <cellStyle name="Normal 2 5 4 4 3 2" xfId="13615" xr:uid="{2EC763A5-285E-4DC3-95AA-7896476D3A2B}"/>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2 2 2" xfId="16173" xr:uid="{E147E3B9-8AD4-4B5B-BD5E-4BA5E7457BC5}"/>
    <cellStyle name="Normal 2 5 4 5 2 3" xfId="11960" xr:uid="{24F1BDFA-590A-4495-AFE0-F685CBD90A9D}"/>
    <cellStyle name="Normal 2 5 4 5 3" xfId="5533" xr:uid="{00000000-0005-0000-0000-000059110000}"/>
    <cellStyle name="Normal 2 5 4 5 3 2" xfId="14028" xr:uid="{6437D094-81BA-4D2A-AA7D-7BE64A56C9AB}"/>
    <cellStyle name="Normal 2 5 4 5 4" xfId="9815" xr:uid="{D1BFAA5A-20AF-44DD-8C29-E48BDAF471C2}"/>
    <cellStyle name="Normal 2 5 4 6" xfId="1639" xr:uid="{00000000-0005-0000-0000-00005A110000}"/>
    <cellStyle name="Normal 2 5 4 6 2" xfId="3869" xr:uid="{00000000-0005-0000-0000-00005B110000}"/>
    <cellStyle name="Normal 2 5 4 6 2 2" xfId="8091" xr:uid="{00000000-0005-0000-0000-00005C110000}"/>
    <cellStyle name="Normal 2 5 4 6 2 2 2" xfId="16586" xr:uid="{97A54484-51F4-476C-9EDF-A21F974829A9}"/>
    <cellStyle name="Normal 2 5 4 6 2 3" xfId="12373" xr:uid="{4979CFCE-162A-4B39-B1D2-F35C9C60007A}"/>
    <cellStyle name="Normal 2 5 4 6 3" xfId="5946" xr:uid="{00000000-0005-0000-0000-00005D110000}"/>
    <cellStyle name="Normal 2 5 4 6 3 2" xfId="14441" xr:uid="{79541BFB-7284-46F7-83E3-AD211B027E45}"/>
    <cellStyle name="Normal 2 5 4 6 4" xfId="10228" xr:uid="{0A0ABE2D-776C-436A-BF16-0DC63A84C8EA}"/>
    <cellStyle name="Normal 2 5 4 7" xfId="2053" xr:uid="{00000000-0005-0000-0000-00005E110000}"/>
    <cellStyle name="Normal 2 5 4 7 2" xfId="4282" xr:uid="{00000000-0005-0000-0000-00005F110000}"/>
    <cellStyle name="Normal 2 5 4 7 2 2" xfId="8504" xr:uid="{00000000-0005-0000-0000-000060110000}"/>
    <cellStyle name="Normal 2 5 4 7 2 2 2" xfId="16999" xr:uid="{D1256A9F-401A-477E-A157-521DA901D8AB}"/>
    <cellStyle name="Normal 2 5 4 7 2 3" xfId="12786" xr:uid="{370AB902-6280-4B5F-8834-A81C183722A4}"/>
    <cellStyle name="Normal 2 5 4 7 3" xfId="6359" xr:uid="{00000000-0005-0000-0000-000061110000}"/>
    <cellStyle name="Normal 2 5 4 7 3 2" xfId="14854" xr:uid="{74F6DFCF-79ED-42EF-ADA3-FF2B47A76A77}"/>
    <cellStyle name="Normal 2 5 4 7 4" xfId="10641" xr:uid="{F1F78FA8-DB71-4FE1-A22E-FBE7D4C4643B}"/>
    <cellStyle name="Normal 2 5 4 8" xfId="2489" xr:uid="{00000000-0005-0000-0000-000062110000}"/>
    <cellStyle name="Normal 2 5 4 8 2" xfId="6772" xr:uid="{00000000-0005-0000-0000-000063110000}"/>
    <cellStyle name="Normal 2 5 4 8 2 2" xfId="15267" xr:uid="{F790F56F-54AC-4EEE-8FE7-1B1FC446A0DB}"/>
    <cellStyle name="Normal 2 5 4 8 3" xfId="11054" xr:uid="{37A430A1-63B0-4C41-B2CF-CD199031B128}"/>
    <cellStyle name="Normal 2 5 4 9" xfId="4706" xr:uid="{00000000-0005-0000-0000-000064110000}"/>
    <cellStyle name="Normal 2 5 4 9 2" xfId="13202" xr:uid="{4F93E7CC-43AE-48C3-8AB0-7A164655C955}"/>
    <cellStyle name="Normal 2 5 5" xfId="803" xr:uid="{00000000-0005-0000-0000-000065110000}"/>
    <cellStyle name="Normal 2 5 5 2" xfId="3042" xr:uid="{00000000-0005-0000-0000-000066110000}"/>
    <cellStyle name="Normal 2 5 5 2 2" xfId="7264" xr:uid="{00000000-0005-0000-0000-000067110000}"/>
    <cellStyle name="Normal 2 5 5 2 2 2" xfId="15759" xr:uid="{15C47DCF-CF7F-478E-9824-0122B5B508E9}"/>
    <cellStyle name="Normal 2 5 5 2 3" xfId="11546" xr:uid="{ADE28492-5887-45AB-AF69-91C1A490A130}"/>
    <cellStyle name="Normal 2 5 5 3" xfId="5119" xr:uid="{00000000-0005-0000-0000-000068110000}"/>
    <cellStyle name="Normal 2 5 5 3 2" xfId="13614" xr:uid="{FEFB0A21-305E-4644-8A05-0CAF68CF2AA4}"/>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2 2 2" xfId="16172" xr:uid="{E40DA582-0B8B-4643-8814-64E0F8A0A900}"/>
    <cellStyle name="Normal 2 5 6 2 3" xfId="11959" xr:uid="{ACEDCACE-F7FC-43EB-B93B-D35C5EDF7E8B}"/>
    <cellStyle name="Normal 2 5 6 3" xfId="5532" xr:uid="{00000000-0005-0000-0000-00006C110000}"/>
    <cellStyle name="Normal 2 5 6 3 2" xfId="14027" xr:uid="{40036D0D-C2F1-48FE-B639-2D9E59A75A45}"/>
    <cellStyle name="Normal 2 5 6 4" xfId="9814" xr:uid="{6BEA1210-DC4B-405F-9251-09CCF0E3FA68}"/>
    <cellStyle name="Normal 2 5 7" xfId="1638" xr:uid="{00000000-0005-0000-0000-00006D110000}"/>
    <cellStyle name="Normal 2 5 7 2" xfId="3868" xr:uid="{00000000-0005-0000-0000-00006E110000}"/>
    <cellStyle name="Normal 2 5 7 2 2" xfId="8090" xr:uid="{00000000-0005-0000-0000-00006F110000}"/>
    <cellStyle name="Normal 2 5 7 2 2 2" xfId="16585" xr:uid="{477E8C80-F3D3-4740-9AB7-C1F124AA980D}"/>
    <cellStyle name="Normal 2 5 7 2 3" xfId="12372" xr:uid="{603330EC-672B-423A-B373-EDC6EABEE623}"/>
    <cellStyle name="Normal 2 5 7 3" xfId="5945" xr:uid="{00000000-0005-0000-0000-000070110000}"/>
    <cellStyle name="Normal 2 5 7 3 2" xfId="14440" xr:uid="{09D2813C-9FD9-4D8E-AE40-DF19085B8D34}"/>
    <cellStyle name="Normal 2 5 7 4" xfId="10227" xr:uid="{A16E3C6D-4B60-4EC1-9E4B-430E39F97285}"/>
    <cellStyle name="Normal 2 5 8" xfId="2052" xr:uid="{00000000-0005-0000-0000-000071110000}"/>
    <cellStyle name="Normal 2 5 8 2" xfId="4281" xr:uid="{00000000-0005-0000-0000-000072110000}"/>
    <cellStyle name="Normal 2 5 8 2 2" xfId="8503" xr:uid="{00000000-0005-0000-0000-000073110000}"/>
    <cellStyle name="Normal 2 5 8 2 2 2" xfId="16998" xr:uid="{60951801-8023-4F5D-8825-57E367170845}"/>
    <cellStyle name="Normal 2 5 8 2 3" xfId="12785" xr:uid="{D49D171B-DD12-4CF3-A474-5C868F6CD5D6}"/>
    <cellStyle name="Normal 2 5 8 3" xfId="6358" xr:uid="{00000000-0005-0000-0000-000074110000}"/>
    <cellStyle name="Normal 2 5 8 3 2" xfId="14853" xr:uid="{AA57B1DD-BEC5-43CE-8FAC-6FCD241B9347}"/>
    <cellStyle name="Normal 2 5 8 4" xfId="10640" xr:uid="{CF8A21E6-B4D7-4F87-BA91-1CC7E1FE1E06}"/>
    <cellStyle name="Normal 2 5 9" xfId="2488" xr:uid="{00000000-0005-0000-0000-000075110000}"/>
    <cellStyle name="Normal 2 5 9 2" xfId="6771" xr:uid="{00000000-0005-0000-0000-000076110000}"/>
    <cellStyle name="Normal 2 5 9 2 2" xfId="15266" xr:uid="{C0BF6D69-8E3B-4630-8EE5-209D636811C5}"/>
    <cellStyle name="Normal 2 5 9 3" xfId="11053" xr:uid="{9FB4AEF5-34E1-4603-9C28-5B5DF19408A9}"/>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67" xr:uid="{833C2A02-64F8-4EAC-9464-258F13FFCD5C}"/>
    <cellStyle name="Normal 3 2 3 2 2 2 2 3" xfId="11554" xr:uid="{8A279FFD-9F73-4AC9-BFC1-9671D9CA31E3}"/>
    <cellStyle name="Normal 3 2 3 2 2 2 3" xfId="5127" xr:uid="{00000000-0005-0000-0000-000084110000}"/>
    <cellStyle name="Normal 3 2 3 2 2 2 3 2" xfId="13622" xr:uid="{B1595BEB-A7DC-41FA-B131-CDDB501D6C3E}"/>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80" xr:uid="{1A58686C-D5A1-4179-AFAB-0CB1E824C631}"/>
    <cellStyle name="Normal 3 2 3 2 2 3 2 3" xfId="11967" xr:uid="{24841C5A-C693-4A15-8188-C4EF16B6EC10}"/>
    <cellStyle name="Normal 3 2 3 2 2 3 3" xfId="5540" xr:uid="{00000000-0005-0000-0000-000088110000}"/>
    <cellStyle name="Normal 3 2 3 2 2 3 3 2" xfId="14035" xr:uid="{0CB19658-A69A-44D1-B68C-F81717E8BC41}"/>
    <cellStyle name="Normal 3 2 3 2 2 3 4" xfId="9822" xr:uid="{96CB34EB-E3B9-48DD-899D-CC716FA4A1FA}"/>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93" xr:uid="{9F2586C3-F788-4058-856D-8A1CEE5DE890}"/>
    <cellStyle name="Normal 3 2 3 2 2 4 2 3" xfId="12380" xr:uid="{F9C38252-6596-4514-81BF-5EB14E1C2921}"/>
    <cellStyle name="Normal 3 2 3 2 2 4 3" xfId="5953" xr:uid="{00000000-0005-0000-0000-00008C110000}"/>
    <cellStyle name="Normal 3 2 3 2 2 4 3 2" xfId="14448" xr:uid="{CF536417-BE36-4464-97CA-6A908AAF820C}"/>
    <cellStyle name="Normal 3 2 3 2 2 4 4" xfId="10235" xr:uid="{F97D9A59-93C8-41B1-8E11-4F1CAAE29F65}"/>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006" xr:uid="{067604C3-8F61-4313-966C-229FFB4418AD}"/>
    <cellStyle name="Normal 3 2 3 2 2 5 2 3" xfId="12793" xr:uid="{ECD36499-7C1D-4C98-9FC1-BCB69D85D43C}"/>
    <cellStyle name="Normal 3 2 3 2 2 5 3" xfId="6366" xr:uid="{00000000-0005-0000-0000-000090110000}"/>
    <cellStyle name="Normal 3 2 3 2 2 5 3 2" xfId="14861" xr:uid="{315D0A90-3B99-40E6-BA37-560567D6DBAF}"/>
    <cellStyle name="Normal 3 2 3 2 2 5 4" xfId="10648" xr:uid="{3810722A-6540-4AB2-BF5C-05AFD0DD8480}"/>
    <cellStyle name="Normal 3 2 3 2 2 6" xfId="2496" xr:uid="{00000000-0005-0000-0000-000091110000}"/>
    <cellStyle name="Normal 3 2 3 2 2 6 2" xfId="6779" xr:uid="{00000000-0005-0000-0000-000092110000}"/>
    <cellStyle name="Normal 3 2 3 2 2 6 2 2" xfId="15274" xr:uid="{A6DA48B0-2F6B-47EE-86F2-C0D4B2925B07}"/>
    <cellStyle name="Normal 3 2 3 2 2 6 3" xfId="11061" xr:uid="{EED372D0-BF16-49A5-B3D9-C9D3CF097C0A}"/>
    <cellStyle name="Normal 3 2 3 2 2 7" xfId="4713" xr:uid="{00000000-0005-0000-0000-000093110000}"/>
    <cellStyle name="Normal 3 2 3 2 2 7 2" xfId="13209" xr:uid="{E2EBF5DE-6398-483B-82AF-3255B2F5B54D}"/>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66" xr:uid="{5C76ED01-C0C7-483F-A320-624C29005EC0}"/>
    <cellStyle name="Normal 3 2 3 2 3 2 3" xfId="11553" xr:uid="{DFC340E7-2784-4997-8BBC-45A88D6BE5F9}"/>
    <cellStyle name="Normal 3 2 3 2 3 3" xfId="5126" xr:uid="{00000000-0005-0000-0000-000097110000}"/>
    <cellStyle name="Normal 3 2 3 2 3 3 2" xfId="13621" xr:uid="{980CB540-C0E5-4550-87CD-92E6EC573753}"/>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79" xr:uid="{20E284C5-D3F2-4945-95F4-8971FD673A3C}"/>
    <cellStyle name="Normal 3 2 3 2 4 2 3" xfId="11966" xr:uid="{AED07B20-322E-4B0A-BE0B-59B61AA549B8}"/>
    <cellStyle name="Normal 3 2 3 2 4 3" xfId="5539" xr:uid="{00000000-0005-0000-0000-00009B110000}"/>
    <cellStyle name="Normal 3 2 3 2 4 3 2" xfId="14034" xr:uid="{28701CBD-53CE-4239-98A9-E6F90046512D}"/>
    <cellStyle name="Normal 3 2 3 2 4 4" xfId="9821" xr:uid="{28903D39-C296-4017-B1D0-28E29B9CBBB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92" xr:uid="{A216217E-B9E8-48CA-B4FF-57EC196EEF44}"/>
    <cellStyle name="Normal 3 2 3 2 5 2 3" xfId="12379" xr:uid="{D2E1BB63-CF5E-4196-8E79-F05C89B3B49E}"/>
    <cellStyle name="Normal 3 2 3 2 5 3" xfId="5952" xr:uid="{00000000-0005-0000-0000-00009F110000}"/>
    <cellStyle name="Normal 3 2 3 2 5 3 2" xfId="14447" xr:uid="{15078978-0A03-4E8A-A516-95F2F4AD18AC}"/>
    <cellStyle name="Normal 3 2 3 2 5 4" xfId="10234" xr:uid="{CACD8950-1AD0-44CB-AE69-2968115DC61E}"/>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005" xr:uid="{AA4AA5AE-51B3-4351-BC9D-F581D42FD569}"/>
    <cellStyle name="Normal 3 2 3 2 6 2 3" xfId="12792" xr:uid="{0585EFF8-D44E-4801-8CDC-F26705EE1A1E}"/>
    <cellStyle name="Normal 3 2 3 2 6 3" xfId="6365" xr:uid="{00000000-0005-0000-0000-0000A3110000}"/>
    <cellStyle name="Normal 3 2 3 2 6 3 2" xfId="14860" xr:uid="{03752AAB-C173-46E9-899C-7C3C9F068391}"/>
    <cellStyle name="Normal 3 2 3 2 6 4" xfId="10647" xr:uid="{C8E1D6BA-A9A3-43EF-8A98-C8DCB965F04E}"/>
    <cellStyle name="Normal 3 2 3 2 7" xfId="2495" xr:uid="{00000000-0005-0000-0000-0000A4110000}"/>
    <cellStyle name="Normal 3 2 3 2 7 2" xfId="6778" xr:uid="{00000000-0005-0000-0000-0000A5110000}"/>
    <cellStyle name="Normal 3 2 3 2 7 2 2" xfId="15273" xr:uid="{4A322AA0-2D7C-4B00-BE3A-AD1729A22AAC}"/>
    <cellStyle name="Normal 3 2 3 2 7 3" xfId="11060" xr:uid="{C6DF8F2A-D9EC-472D-9DB1-024A6DF182E7}"/>
    <cellStyle name="Normal 3 2 3 2 8" xfId="4712" xr:uid="{00000000-0005-0000-0000-0000A6110000}"/>
    <cellStyle name="Normal 3 2 3 2 8 2" xfId="13208" xr:uid="{420ABA7C-82F7-4624-8425-78ED8BABEF8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68" xr:uid="{93B0EF58-BB2F-49FF-B909-4CBC40448F36}"/>
    <cellStyle name="Normal 3 2 3 3 2 2 3" xfId="11555" xr:uid="{29133DB7-CBD3-48F2-AFB6-CE8C36EEA1D8}"/>
    <cellStyle name="Normal 3 2 3 3 2 3" xfId="5128" xr:uid="{00000000-0005-0000-0000-0000AB110000}"/>
    <cellStyle name="Normal 3 2 3 3 2 3 2" xfId="13623" xr:uid="{3C8C1D55-D036-4251-A78F-657F1AEF1AD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81" xr:uid="{06E6BABA-06D7-4388-BA37-2871FC0D323C}"/>
    <cellStyle name="Normal 3 2 3 3 3 2 3" xfId="11968" xr:uid="{0FE9CC75-82D1-4832-A6C0-B40B755AEC81}"/>
    <cellStyle name="Normal 3 2 3 3 3 3" xfId="5541" xr:uid="{00000000-0005-0000-0000-0000AF110000}"/>
    <cellStyle name="Normal 3 2 3 3 3 3 2" xfId="14036" xr:uid="{103900D2-F0C0-4F4D-A216-513E3F678B9A}"/>
    <cellStyle name="Normal 3 2 3 3 3 4" xfId="9823" xr:uid="{D12A0E6C-7E92-4B65-8978-50A9DE5F70D2}"/>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94" xr:uid="{C54499B8-DF5A-4FD0-BF42-37C59069FF7C}"/>
    <cellStyle name="Normal 3 2 3 3 4 2 3" xfId="12381" xr:uid="{2FEC29B1-4194-41BE-B5E9-065786EEEB5B}"/>
    <cellStyle name="Normal 3 2 3 3 4 3" xfId="5954" xr:uid="{00000000-0005-0000-0000-0000B3110000}"/>
    <cellStyle name="Normal 3 2 3 3 4 3 2" xfId="14449" xr:uid="{51F5C714-A14C-4EE3-876D-A2E9584E11EA}"/>
    <cellStyle name="Normal 3 2 3 3 4 4" xfId="10236" xr:uid="{4022E143-5D2B-417E-B985-0291D90B6FC6}"/>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007" xr:uid="{88C5E8CD-33AF-43B6-93CF-1DAA6C948C76}"/>
    <cellStyle name="Normal 3 2 3 3 5 2 3" xfId="12794" xr:uid="{E390F846-DF94-4392-83F3-375068DAA87A}"/>
    <cellStyle name="Normal 3 2 3 3 5 3" xfId="6367" xr:uid="{00000000-0005-0000-0000-0000B7110000}"/>
    <cellStyle name="Normal 3 2 3 3 5 3 2" xfId="14862" xr:uid="{48E677A3-A130-4A8E-943E-158C5E0A18A2}"/>
    <cellStyle name="Normal 3 2 3 3 5 4" xfId="10649" xr:uid="{FEE8C38B-ABD9-422B-A1E6-DE6515FD1BEE}"/>
    <cellStyle name="Normal 3 2 3 3 6" xfId="2497" xr:uid="{00000000-0005-0000-0000-0000B8110000}"/>
    <cellStyle name="Normal 3 2 3 3 6 2" xfId="6780" xr:uid="{00000000-0005-0000-0000-0000B9110000}"/>
    <cellStyle name="Normal 3 2 3 3 6 2 2" xfId="15275" xr:uid="{14AE9DF8-294D-4A5A-BF42-CC76F12CD568}"/>
    <cellStyle name="Normal 3 2 3 3 6 3" xfId="11062" xr:uid="{F8FE211A-B68B-47D9-BB84-934824DF3039}"/>
    <cellStyle name="Normal 3 2 3 3 7" xfId="4714" xr:uid="{00000000-0005-0000-0000-0000BA110000}"/>
    <cellStyle name="Normal 3 2 3 3 7 2" xfId="13210" xr:uid="{8FBF76AB-DA40-481D-9E81-E4CD6A8642EE}"/>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2 2 2" xfId="15765" xr:uid="{E4C8B920-7B09-4F45-AB06-94EA1681563D}"/>
    <cellStyle name="Normal 3 2 3 4 2 3" xfId="11552" xr:uid="{203FCEA0-F294-42AA-B341-34B0719E961D}"/>
    <cellStyle name="Normal 3 2 3 4 3" xfId="5125" xr:uid="{00000000-0005-0000-0000-0000BE110000}"/>
    <cellStyle name="Normal 3 2 3 4 3 2" xfId="13620" xr:uid="{B6E0EB84-341A-4B34-83C3-3BDA7429F378}"/>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2 2 2" xfId="16178" xr:uid="{ECDC252E-23CE-4A1C-82CA-E04988179912}"/>
    <cellStyle name="Normal 3 2 3 5 2 3" xfId="11965" xr:uid="{33203820-3CA9-41AF-A161-E4DA2542B810}"/>
    <cellStyle name="Normal 3 2 3 5 3" xfId="5538" xr:uid="{00000000-0005-0000-0000-0000C2110000}"/>
    <cellStyle name="Normal 3 2 3 5 3 2" xfId="14033" xr:uid="{6297C360-6486-4F53-8532-ABBC847ACA19}"/>
    <cellStyle name="Normal 3 2 3 5 4" xfId="9820" xr:uid="{C089AB83-4EE6-4AA5-BB42-CF234DCB3539}"/>
    <cellStyle name="Normal 3 2 3 6" xfId="1644" xr:uid="{00000000-0005-0000-0000-0000C3110000}"/>
    <cellStyle name="Normal 3 2 3 6 2" xfId="3874" xr:uid="{00000000-0005-0000-0000-0000C4110000}"/>
    <cellStyle name="Normal 3 2 3 6 2 2" xfId="8096" xr:uid="{00000000-0005-0000-0000-0000C5110000}"/>
    <cellStyle name="Normal 3 2 3 6 2 2 2" xfId="16591" xr:uid="{24A7ECD0-DF73-41EF-AB9B-791E5ADB507F}"/>
    <cellStyle name="Normal 3 2 3 6 2 3" xfId="12378" xr:uid="{462611B4-FF36-4B6B-BBCD-977093340983}"/>
    <cellStyle name="Normal 3 2 3 6 3" xfId="5951" xr:uid="{00000000-0005-0000-0000-0000C6110000}"/>
    <cellStyle name="Normal 3 2 3 6 3 2" xfId="14446" xr:uid="{88E9C5BF-24F7-4339-9939-7F4F89547C1D}"/>
    <cellStyle name="Normal 3 2 3 6 4" xfId="10233" xr:uid="{23C7F8EF-7CA5-4D7D-8EFE-9FC618B6CF9D}"/>
    <cellStyle name="Normal 3 2 3 7" xfId="2058" xr:uid="{00000000-0005-0000-0000-0000C7110000}"/>
    <cellStyle name="Normal 3 2 3 7 2" xfId="4287" xr:uid="{00000000-0005-0000-0000-0000C8110000}"/>
    <cellStyle name="Normal 3 2 3 7 2 2" xfId="8509" xr:uid="{00000000-0005-0000-0000-0000C9110000}"/>
    <cellStyle name="Normal 3 2 3 7 2 2 2" xfId="17004" xr:uid="{10789311-7D7D-481B-BEFB-B60A0277ED21}"/>
    <cellStyle name="Normal 3 2 3 7 2 3" xfId="12791" xr:uid="{D61706BF-4DA4-42C6-962E-1F751D1F88AE}"/>
    <cellStyle name="Normal 3 2 3 7 3" xfId="6364" xr:uid="{00000000-0005-0000-0000-0000CA110000}"/>
    <cellStyle name="Normal 3 2 3 7 3 2" xfId="14859" xr:uid="{7E209449-6FA2-445B-83B9-CEEBB2C52F3C}"/>
    <cellStyle name="Normal 3 2 3 7 4" xfId="10646" xr:uid="{34650FBC-CFD5-4E21-B471-F69A082C5468}"/>
    <cellStyle name="Normal 3 2 3 8" xfId="2494" xr:uid="{00000000-0005-0000-0000-0000CB110000}"/>
    <cellStyle name="Normal 3 2 3 8 2" xfId="6777" xr:uid="{00000000-0005-0000-0000-0000CC110000}"/>
    <cellStyle name="Normal 3 2 3 8 2 2" xfId="15272" xr:uid="{D8869DD9-72B1-464A-984D-3ECDDF75B6EB}"/>
    <cellStyle name="Normal 3 2 3 8 3" xfId="11059" xr:uid="{7DB48559-1F1C-47BC-94EC-BAB687A8F0A5}"/>
    <cellStyle name="Normal 3 2 3 9" xfId="4711" xr:uid="{00000000-0005-0000-0000-0000CD110000}"/>
    <cellStyle name="Normal 3 2 3 9 2" xfId="13207" xr:uid="{03F0EF82-04C8-4150-A404-001F4CD2D27E}"/>
    <cellStyle name="Normal 3 2 4" xfId="809" xr:uid="{00000000-0005-0000-0000-0000CE110000}"/>
    <cellStyle name="Normal 3 2 4 2" xfId="3047" xr:uid="{00000000-0005-0000-0000-0000CF110000}"/>
    <cellStyle name="Normal 3 2 4 2 2" xfId="7269" xr:uid="{00000000-0005-0000-0000-0000D0110000}"/>
    <cellStyle name="Normal 3 2 4 2 2 2" xfId="15764" xr:uid="{8FBBAEC8-020C-4C4A-986D-C147009B9864}"/>
    <cellStyle name="Normal 3 2 4 2 3" xfId="11551" xr:uid="{9EADAB1A-0C4A-43C1-909C-1C1A02C8CBB7}"/>
    <cellStyle name="Normal 3 2 4 3" xfId="5124" xr:uid="{00000000-0005-0000-0000-0000D1110000}"/>
    <cellStyle name="Normal 3 2 4 3 2" xfId="13619" xr:uid="{C0812BC3-B1AB-4C8B-9A60-14788F8A6DEE}"/>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2 2 2" xfId="16177" xr:uid="{F7921968-0CE6-4CB8-B746-355FD9701D66}"/>
    <cellStyle name="Normal 3 2 5 2 3" xfId="11964" xr:uid="{6E517AA4-F10B-4E8D-AF41-4E7D3A5F348B}"/>
    <cellStyle name="Normal 3 2 5 3" xfId="5537" xr:uid="{00000000-0005-0000-0000-0000D5110000}"/>
    <cellStyle name="Normal 3 2 5 3 2" xfId="14032" xr:uid="{E1F80118-1CBF-4ADA-8E41-9AB7920CA2EF}"/>
    <cellStyle name="Normal 3 2 5 4" xfId="9819" xr:uid="{7E5CD94F-E995-4752-8E31-52A15D1CAA87}"/>
    <cellStyle name="Normal 3 2 6" xfId="1643" xr:uid="{00000000-0005-0000-0000-0000D6110000}"/>
    <cellStyle name="Normal 3 2 6 2" xfId="3873" xr:uid="{00000000-0005-0000-0000-0000D7110000}"/>
    <cellStyle name="Normal 3 2 6 2 2" xfId="8095" xr:uid="{00000000-0005-0000-0000-0000D8110000}"/>
    <cellStyle name="Normal 3 2 6 2 2 2" xfId="16590" xr:uid="{3D5EB018-FFF1-4CFC-8EF1-5907D238769F}"/>
    <cellStyle name="Normal 3 2 6 2 3" xfId="12377" xr:uid="{248A6E2C-A8FC-47E8-AB1A-66944935328F}"/>
    <cellStyle name="Normal 3 2 6 3" xfId="5950" xr:uid="{00000000-0005-0000-0000-0000D9110000}"/>
    <cellStyle name="Normal 3 2 6 3 2" xfId="14445" xr:uid="{C1024F51-E136-4321-B951-0071B194E4F2}"/>
    <cellStyle name="Normal 3 2 6 4" xfId="10232" xr:uid="{6A990B16-A1BF-4F43-A417-376616BEBDD6}"/>
    <cellStyle name="Normal 3 2 7" xfId="2057" xr:uid="{00000000-0005-0000-0000-0000DA110000}"/>
    <cellStyle name="Normal 3 2 7 2" xfId="4286" xr:uid="{00000000-0005-0000-0000-0000DB110000}"/>
    <cellStyle name="Normal 3 2 7 2 2" xfId="8508" xr:uid="{00000000-0005-0000-0000-0000DC110000}"/>
    <cellStyle name="Normal 3 2 7 2 2 2" xfId="17003" xr:uid="{CB8331F4-071D-46CD-A3CA-7BEA7AEBD8E9}"/>
    <cellStyle name="Normal 3 2 7 2 3" xfId="12790" xr:uid="{5F155950-C6F1-4324-89BD-E61E9DB8D54E}"/>
    <cellStyle name="Normal 3 2 7 3" xfId="6363" xr:uid="{00000000-0005-0000-0000-0000DD110000}"/>
    <cellStyle name="Normal 3 2 7 3 2" xfId="14858" xr:uid="{DAC81657-A807-478D-83D7-81D02CF60989}"/>
    <cellStyle name="Normal 3 2 7 4" xfId="10645" xr:uid="{6C9155E8-A8E4-413A-BE88-115E597E42F8}"/>
    <cellStyle name="Normal 3 2 8" xfId="2493" xr:uid="{00000000-0005-0000-0000-0000DE110000}"/>
    <cellStyle name="Normal 3 2 8 2" xfId="6776" xr:uid="{00000000-0005-0000-0000-0000DF110000}"/>
    <cellStyle name="Normal 3 2 8 2 2" xfId="15271" xr:uid="{60335846-62BD-4E22-AF50-DE561B0F0EDC}"/>
    <cellStyle name="Normal 3 2 8 3" xfId="11058" xr:uid="{65013639-5EBC-4507-825A-2912E1F022BD}"/>
    <cellStyle name="Normal 3 2 9" xfId="4710" xr:uid="{00000000-0005-0000-0000-0000E0110000}"/>
    <cellStyle name="Normal 3 2 9 2" xfId="13206" xr:uid="{8759A6C8-22FC-40C7-9A83-4ACEAB0CB984}"/>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008" xr:uid="{C93A21E4-1682-4852-BE61-B22746608CC8}"/>
    <cellStyle name="Normal 4 2 2 10 2 3" xfId="12795" xr:uid="{FE0CAE4A-EEBD-4BC4-8971-92B3781C34D2}"/>
    <cellStyle name="Normal 4 2 2 10 3" xfId="6368" xr:uid="{00000000-0005-0000-0000-0000ED110000}"/>
    <cellStyle name="Normal 4 2 2 10 3 2" xfId="14863" xr:uid="{8F4206A9-6163-4E43-9D23-A00A57108EDA}"/>
    <cellStyle name="Normal 4 2 2 10 4" xfId="10650" xr:uid="{C0489729-2CE9-482E-A99A-6609BF9638E7}"/>
    <cellStyle name="Normal 4 2 2 11" xfId="2498" xr:uid="{00000000-0005-0000-0000-0000EE110000}"/>
    <cellStyle name="Normal 4 2 2 11 2" xfId="6781" xr:uid="{00000000-0005-0000-0000-0000EF110000}"/>
    <cellStyle name="Normal 4 2 2 11 2 2" xfId="15276" xr:uid="{A23F4FCF-EB51-413D-8665-AF9EC9E9ACEE}"/>
    <cellStyle name="Normal 4 2 2 11 3" xfId="11063" xr:uid="{37AC60C5-AD23-46F3-A181-66EF6A77D922}"/>
    <cellStyle name="Normal 4 2 2 12" xfId="4716" xr:uid="{00000000-0005-0000-0000-0000F0110000}"/>
    <cellStyle name="Normal 4 2 2 12 2" xfId="13211" xr:uid="{1E6FDADF-54B8-4043-9E4B-6B85AE5A9907}"/>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0 2" xfId="13212" xr:uid="{5D800637-8548-4E3A-A3D3-A314425C707A}"/>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73" xr:uid="{4F13CB1A-A49E-449D-B7E3-AD3CE07E7FAC}"/>
    <cellStyle name="Normal 4 2 2 3 2 2 2 2 2 3" xfId="11560" xr:uid="{5D819486-16D0-4FE9-8F75-AC7F210F4C7C}"/>
    <cellStyle name="Normal 4 2 2 3 2 2 2 2 3" xfId="5133" xr:uid="{00000000-0005-0000-0000-0000FA110000}"/>
    <cellStyle name="Normal 4 2 2 3 2 2 2 2 3 2" xfId="13628" xr:uid="{15FAD2F0-D082-4D5E-82C4-21BFC292B6A2}"/>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86" xr:uid="{210C4886-0831-4DE9-9EEB-E5F6CBE576EB}"/>
    <cellStyle name="Normal 4 2 2 3 2 2 2 3 2 3" xfId="11973" xr:uid="{8350BCE3-9DFE-4520-B971-96478756F31E}"/>
    <cellStyle name="Normal 4 2 2 3 2 2 2 3 3" xfId="5546" xr:uid="{00000000-0005-0000-0000-0000FE110000}"/>
    <cellStyle name="Normal 4 2 2 3 2 2 2 3 3 2" xfId="14041" xr:uid="{1780C347-D3C2-4FEC-BB01-E63F79D73288}"/>
    <cellStyle name="Normal 4 2 2 3 2 2 2 3 4" xfId="9828" xr:uid="{9E3E4BC5-132A-4AD5-80A3-E8281056D2F4}"/>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99" xr:uid="{B497BBBC-62EF-40C4-A9CF-9A0FA9AE1E7C}"/>
    <cellStyle name="Normal 4 2 2 3 2 2 2 4 2 3" xfId="12386" xr:uid="{A036350B-1A9C-408D-9832-F74032045532}"/>
    <cellStyle name="Normal 4 2 2 3 2 2 2 4 3" xfId="5959" xr:uid="{00000000-0005-0000-0000-000002120000}"/>
    <cellStyle name="Normal 4 2 2 3 2 2 2 4 3 2" xfId="14454" xr:uid="{F214C3F8-CA3C-4A00-B976-235F7A9892B9}"/>
    <cellStyle name="Normal 4 2 2 3 2 2 2 4 4" xfId="10241" xr:uid="{14ED016E-934C-47B5-AEE5-5A921BD5E07D}"/>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012" xr:uid="{C850C02C-5747-4177-8CBB-529E355A1F57}"/>
    <cellStyle name="Normal 4 2 2 3 2 2 2 5 2 3" xfId="12799" xr:uid="{807489DE-E207-480C-A0E4-48B3E10F11DA}"/>
    <cellStyle name="Normal 4 2 2 3 2 2 2 5 3" xfId="6372" xr:uid="{00000000-0005-0000-0000-000006120000}"/>
    <cellStyle name="Normal 4 2 2 3 2 2 2 5 3 2" xfId="14867" xr:uid="{02200F04-2B78-4FD4-9E38-A5123931157B}"/>
    <cellStyle name="Normal 4 2 2 3 2 2 2 5 4" xfId="10654" xr:uid="{5B6E4848-7973-4E69-ACD3-3BC34FEC5A23}"/>
    <cellStyle name="Normal 4 2 2 3 2 2 2 6" xfId="2502" xr:uid="{00000000-0005-0000-0000-000007120000}"/>
    <cellStyle name="Normal 4 2 2 3 2 2 2 6 2" xfId="6785" xr:uid="{00000000-0005-0000-0000-000008120000}"/>
    <cellStyle name="Normal 4 2 2 3 2 2 2 6 2 2" xfId="15280" xr:uid="{A4553C83-A469-4F7D-A814-41696D0A3A2F}"/>
    <cellStyle name="Normal 4 2 2 3 2 2 2 6 3" xfId="11067" xr:uid="{0168020E-DF34-4E7D-A269-06B66758D424}"/>
    <cellStyle name="Normal 4 2 2 3 2 2 2 7" xfId="4720" xr:uid="{00000000-0005-0000-0000-000009120000}"/>
    <cellStyle name="Normal 4 2 2 3 2 2 2 7 2" xfId="13215" xr:uid="{7113CE68-F9EC-4AD2-B00C-E222345ED071}"/>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72" xr:uid="{90CB1CCB-B8D9-4219-89AE-88C5330808F9}"/>
    <cellStyle name="Normal 4 2 2 3 2 2 3 2 3" xfId="11559" xr:uid="{31C5A26E-4D7A-42D3-A5BF-00F7183A53A9}"/>
    <cellStyle name="Normal 4 2 2 3 2 2 3 3" xfId="5132" xr:uid="{00000000-0005-0000-0000-00000D120000}"/>
    <cellStyle name="Normal 4 2 2 3 2 2 3 3 2" xfId="13627" xr:uid="{18955E5F-16A2-401C-9EB5-E09021D26BDC}"/>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85" xr:uid="{88C9F687-7551-4E8D-86B2-EDE148245005}"/>
    <cellStyle name="Normal 4 2 2 3 2 2 4 2 3" xfId="11972" xr:uid="{CABD7B68-0E47-4D19-95EC-44CC20363C1B}"/>
    <cellStyle name="Normal 4 2 2 3 2 2 4 3" xfId="5545" xr:uid="{00000000-0005-0000-0000-000011120000}"/>
    <cellStyle name="Normal 4 2 2 3 2 2 4 3 2" xfId="14040" xr:uid="{FCD526D4-A14B-4469-BFFE-8A79F1E1CB0C}"/>
    <cellStyle name="Normal 4 2 2 3 2 2 4 4" xfId="9827" xr:uid="{29CD206A-2BCD-4086-A397-F56364011BE1}"/>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98" xr:uid="{C7FACD16-FEAF-4448-99E4-3681A85F8522}"/>
    <cellStyle name="Normal 4 2 2 3 2 2 5 2 3" xfId="12385" xr:uid="{9740F520-54D4-4F48-AF03-E2F419174929}"/>
    <cellStyle name="Normal 4 2 2 3 2 2 5 3" xfId="5958" xr:uid="{00000000-0005-0000-0000-000015120000}"/>
    <cellStyle name="Normal 4 2 2 3 2 2 5 3 2" xfId="14453" xr:uid="{FD83FEFB-273A-41B0-B87F-197105CE80D9}"/>
    <cellStyle name="Normal 4 2 2 3 2 2 5 4" xfId="10240" xr:uid="{CCD44984-93BC-4676-B8F1-B01FA6F32A2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011" xr:uid="{41C39BD7-641D-4ACD-95DF-A98E4DF582BE}"/>
    <cellStyle name="Normal 4 2 2 3 2 2 6 2 3" xfId="12798" xr:uid="{C98854CE-F024-4366-8848-EC3F683C39CF}"/>
    <cellStyle name="Normal 4 2 2 3 2 2 6 3" xfId="6371" xr:uid="{00000000-0005-0000-0000-000019120000}"/>
    <cellStyle name="Normal 4 2 2 3 2 2 6 3 2" xfId="14866" xr:uid="{7CCAEABF-8D49-4464-8ECD-EBB88D826F15}"/>
    <cellStyle name="Normal 4 2 2 3 2 2 6 4" xfId="10653" xr:uid="{43D45743-ED93-4EF7-90FD-47D2A52D7D78}"/>
    <cellStyle name="Normal 4 2 2 3 2 2 7" xfId="2501" xr:uid="{00000000-0005-0000-0000-00001A120000}"/>
    <cellStyle name="Normal 4 2 2 3 2 2 7 2" xfId="6784" xr:uid="{00000000-0005-0000-0000-00001B120000}"/>
    <cellStyle name="Normal 4 2 2 3 2 2 7 2 2" xfId="15279" xr:uid="{1E9A1079-96EB-4890-B859-B01834DE61EE}"/>
    <cellStyle name="Normal 4 2 2 3 2 2 7 3" xfId="11066" xr:uid="{44755103-EEFE-4CF7-80CF-FF34368547A0}"/>
    <cellStyle name="Normal 4 2 2 3 2 2 8" xfId="4719" xr:uid="{00000000-0005-0000-0000-00001C120000}"/>
    <cellStyle name="Normal 4 2 2 3 2 2 8 2" xfId="13214" xr:uid="{3B39B98F-1A52-4004-8ACF-9D1848443FF9}"/>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74" xr:uid="{2CEAFA53-5F10-45B0-A933-9C130E4FA942}"/>
    <cellStyle name="Normal 4 2 2 3 2 3 2 2 3" xfId="11561" xr:uid="{10388159-C533-403D-A853-125C062B8295}"/>
    <cellStyle name="Normal 4 2 2 3 2 3 2 3" xfId="5134" xr:uid="{00000000-0005-0000-0000-000021120000}"/>
    <cellStyle name="Normal 4 2 2 3 2 3 2 3 2" xfId="13629" xr:uid="{2EE6EFC4-612C-4604-B368-D7146D3545D4}"/>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87" xr:uid="{06B1C101-A165-4C85-ADBF-B4129107FA20}"/>
    <cellStyle name="Normal 4 2 2 3 2 3 3 2 3" xfId="11974" xr:uid="{0858D3ED-8BEC-4105-BDC9-018F8F6D338A}"/>
    <cellStyle name="Normal 4 2 2 3 2 3 3 3" xfId="5547" xr:uid="{00000000-0005-0000-0000-000025120000}"/>
    <cellStyle name="Normal 4 2 2 3 2 3 3 3 2" xfId="14042" xr:uid="{ED2D08D2-08A3-4517-A7AC-ABDF6B06D76F}"/>
    <cellStyle name="Normal 4 2 2 3 2 3 3 4" xfId="9829" xr:uid="{8EE6864B-38B5-45E6-8891-E743409B4E9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600" xr:uid="{B408492A-28A8-4692-B6B3-0F6F41CB17C8}"/>
    <cellStyle name="Normal 4 2 2 3 2 3 4 2 3" xfId="12387" xr:uid="{AB61C705-15F4-4039-9B36-057B92BDE4EB}"/>
    <cellStyle name="Normal 4 2 2 3 2 3 4 3" xfId="5960" xr:uid="{00000000-0005-0000-0000-000029120000}"/>
    <cellStyle name="Normal 4 2 2 3 2 3 4 3 2" xfId="14455" xr:uid="{CAB6657E-7A48-40A2-B0AB-73D15352DFA5}"/>
    <cellStyle name="Normal 4 2 2 3 2 3 4 4" xfId="10242" xr:uid="{692B1AC5-649C-4623-AB92-EF1852A37846}"/>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013" xr:uid="{D8692AA9-AE64-4C5B-A92F-EB6BFA98F086}"/>
    <cellStyle name="Normal 4 2 2 3 2 3 5 2 3" xfId="12800" xr:uid="{2B61C8FE-29CF-40A7-B712-04AA46F21EB6}"/>
    <cellStyle name="Normal 4 2 2 3 2 3 5 3" xfId="6373" xr:uid="{00000000-0005-0000-0000-00002D120000}"/>
    <cellStyle name="Normal 4 2 2 3 2 3 5 3 2" xfId="14868" xr:uid="{D80424D3-52A0-412B-A0D6-402B9C07481B}"/>
    <cellStyle name="Normal 4 2 2 3 2 3 5 4" xfId="10655" xr:uid="{A424C5F7-C755-48BB-90B6-D0F3314D5DA7}"/>
    <cellStyle name="Normal 4 2 2 3 2 3 6" xfId="2503" xr:uid="{00000000-0005-0000-0000-00002E120000}"/>
    <cellStyle name="Normal 4 2 2 3 2 3 6 2" xfId="6786" xr:uid="{00000000-0005-0000-0000-00002F120000}"/>
    <cellStyle name="Normal 4 2 2 3 2 3 6 2 2" xfId="15281" xr:uid="{C3808857-A4EC-4C32-A5B8-404DFD0A8598}"/>
    <cellStyle name="Normal 4 2 2 3 2 3 6 3" xfId="11068" xr:uid="{418A8250-80D3-47A1-8402-392BFF2087DA}"/>
    <cellStyle name="Normal 4 2 2 3 2 3 7" xfId="4721" xr:uid="{00000000-0005-0000-0000-000030120000}"/>
    <cellStyle name="Normal 4 2 2 3 2 3 7 2" xfId="13216" xr:uid="{9BB698C6-A0C3-4D9B-8EEA-1820B778DE9D}"/>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71" xr:uid="{D9496F89-608F-4B1E-9F4A-0F7D26B151F7}"/>
    <cellStyle name="Normal 4 2 2 3 2 4 2 3" xfId="11558" xr:uid="{67FEE907-1DE2-442B-9CB0-06161E30D7A8}"/>
    <cellStyle name="Normal 4 2 2 3 2 4 3" xfId="5131" xr:uid="{00000000-0005-0000-0000-000034120000}"/>
    <cellStyle name="Normal 4 2 2 3 2 4 3 2" xfId="13626" xr:uid="{48CA158A-8937-4F9A-AE94-7FA61A9C573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84" xr:uid="{A1897C07-349B-4C6A-B565-57788809FAAB}"/>
    <cellStyle name="Normal 4 2 2 3 2 5 2 3" xfId="11971" xr:uid="{7359A32B-71D6-485E-B87F-F16AFA8CE868}"/>
    <cellStyle name="Normal 4 2 2 3 2 5 3" xfId="5544" xr:uid="{00000000-0005-0000-0000-000038120000}"/>
    <cellStyle name="Normal 4 2 2 3 2 5 3 2" xfId="14039" xr:uid="{35E8A4CB-17CA-4420-BA37-A1522DDCC457}"/>
    <cellStyle name="Normal 4 2 2 3 2 5 4" xfId="9826" xr:uid="{B93940A1-5849-4991-98F9-EFF8A0F62BA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97" xr:uid="{9D85EBC4-3B58-48C5-8838-F8558F8A87ED}"/>
    <cellStyle name="Normal 4 2 2 3 2 6 2 3" xfId="12384" xr:uid="{52663ECD-35E5-49E0-BDDD-192A49860F54}"/>
    <cellStyle name="Normal 4 2 2 3 2 6 3" xfId="5957" xr:uid="{00000000-0005-0000-0000-00003C120000}"/>
    <cellStyle name="Normal 4 2 2 3 2 6 3 2" xfId="14452" xr:uid="{121185A1-CD9E-40FC-B9A1-194192305579}"/>
    <cellStyle name="Normal 4 2 2 3 2 6 4" xfId="10239" xr:uid="{4137C6A9-F32A-49E9-A11C-6255152DB64A}"/>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010" xr:uid="{640B515E-0148-4CD1-9566-A4C1976B4783}"/>
    <cellStyle name="Normal 4 2 2 3 2 7 2 3" xfId="12797" xr:uid="{3D30945D-E284-457C-9EB4-7A0296DABF0B}"/>
    <cellStyle name="Normal 4 2 2 3 2 7 3" xfId="6370" xr:uid="{00000000-0005-0000-0000-000040120000}"/>
    <cellStyle name="Normal 4 2 2 3 2 7 3 2" xfId="14865" xr:uid="{07DE96DC-71FA-41CF-B44E-2D0B882CDE04}"/>
    <cellStyle name="Normal 4 2 2 3 2 7 4" xfId="10652" xr:uid="{29A87FAD-2A31-439B-8935-033AFF93E0DF}"/>
    <cellStyle name="Normal 4 2 2 3 2 8" xfId="2500" xr:uid="{00000000-0005-0000-0000-000041120000}"/>
    <cellStyle name="Normal 4 2 2 3 2 8 2" xfId="6783" xr:uid="{00000000-0005-0000-0000-000042120000}"/>
    <cellStyle name="Normal 4 2 2 3 2 8 2 2" xfId="15278" xr:uid="{E6DE4184-78BE-4C00-A71F-956FF29490A7}"/>
    <cellStyle name="Normal 4 2 2 3 2 8 3" xfId="11065" xr:uid="{287E0B2F-20AB-4979-BB41-1285F8327892}"/>
    <cellStyle name="Normal 4 2 2 3 2 9" xfId="4718" xr:uid="{00000000-0005-0000-0000-000043120000}"/>
    <cellStyle name="Normal 4 2 2 3 2 9 2" xfId="13213" xr:uid="{3C8E99C5-8555-44A5-AF4D-12CBD183099B}"/>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76" xr:uid="{9FD817D0-46E3-41DD-BF07-66FC528C64D5}"/>
    <cellStyle name="Normal 4 2 2 3 3 2 2 2 3" xfId="11563" xr:uid="{C7EDB5C4-01F2-432C-9E5D-06678C565BE7}"/>
    <cellStyle name="Normal 4 2 2 3 3 2 2 3" xfId="5136" xr:uid="{00000000-0005-0000-0000-000049120000}"/>
    <cellStyle name="Normal 4 2 2 3 3 2 2 3 2" xfId="13631" xr:uid="{9CB4B18C-FE5F-440F-A372-D3737931412F}"/>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89" xr:uid="{0EC106AE-A1FB-44CF-BAAC-175E89ABFBD4}"/>
    <cellStyle name="Normal 4 2 2 3 3 2 3 2 3" xfId="11976" xr:uid="{5C4EDC39-2FE6-4E34-B71A-F865DA8039B1}"/>
    <cellStyle name="Normal 4 2 2 3 3 2 3 3" xfId="5549" xr:uid="{00000000-0005-0000-0000-00004D120000}"/>
    <cellStyle name="Normal 4 2 2 3 3 2 3 3 2" xfId="14044" xr:uid="{2AF8B94F-19DB-435D-BA29-3409D7AA2EAA}"/>
    <cellStyle name="Normal 4 2 2 3 3 2 3 4" xfId="9831" xr:uid="{7AFC0873-63F8-4C6B-AE95-E0BB1C10D8B5}"/>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602" xr:uid="{755F12F0-8DB6-4867-96F7-CFACA724A7CA}"/>
    <cellStyle name="Normal 4 2 2 3 3 2 4 2 3" xfId="12389" xr:uid="{8228EE1A-EFCA-4202-A88B-7DEBB3557396}"/>
    <cellStyle name="Normal 4 2 2 3 3 2 4 3" xfId="5962" xr:uid="{00000000-0005-0000-0000-000051120000}"/>
    <cellStyle name="Normal 4 2 2 3 3 2 4 3 2" xfId="14457" xr:uid="{A1DB2B88-2174-4FC1-AC6B-16DECF3F8C77}"/>
    <cellStyle name="Normal 4 2 2 3 3 2 4 4" xfId="10244" xr:uid="{D1E057AE-6EF8-46C3-8B73-5CD86D8428BC}"/>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015" xr:uid="{5D52BF42-B36A-414C-9E12-58E829689189}"/>
    <cellStyle name="Normal 4 2 2 3 3 2 5 2 3" xfId="12802" xr:uid="{0921188A-603F-4E83-8881-DDDCA7AC7EED}"/>
    <cellStyle name="Normal 4 2 2 3 3 2 5 3" xfId="6375" xr:uid="{00000000-0005-0000-0000-000055120000}"/>
    <cellStyle name="Normal 4 2 2 3 3 2 5 3 2" xfId="14870" xr:uid="{ABC7B7B5-089E-4693-AB4B-97EBC4A22264}"/>
    <cellStyle name="Normal 4 2 2 3 3 2 5 4" xfId="10657" xr:uid="{A7324ABA-9357-4517-82F7-4ACF918254B9}"/>
    <cellStyle name="Normal 4 2 2 3 3 2 6" xfId="2505" xr:uid="{00000000-0005-0000-0000-000056120000}"/>
    <cellStyle name="Normal 4 2 2 3 3 2 6 2" xfId="6788" xr:uid="{00000000-0005-0000-0000-000057120000}"/>
    <cellStyle name="Normal 4 2 2 3 3 2 6 2 2" xfId="15283" xr:uid="{AB3327E9-9C55-4E17-A9A3-B1730FF79CE1}"/>
    <cellStyle name="Normal 4 2 2 3 3 2 6 3" xfId="11070" xr:uid="{5FB921E4-4949-47D1-8A71-2A1E8CECF3B4}"/>
    <cellStyle name="Normal 4 2 2 3 3 2 7" xfId="4723" xr:uid="{00000000-0005-0000-0000-000058120000}"/>
    <cellStyle name="Normal 4 2 2 3 3 2 7 2" xfId="13218" xr:uid="{E6F03965-6591-4A69-BD87-69E906CAFD07}"/>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75" xr:uid="{FAD7B349-028B-4598-AD9F-AF2DCBFF13D3}"/>
    <cellStyle name="Normal 4 2 2 3 3 3 2 3" xfId="11562" xr:uid="{70830BE0-77A5-41FD-BBE8-5E6B43CA12C1}"/>
    <cellStyle name="Normal 4 2 2 3 3 3 3" xfId="5135" xr:uid="{00000000-0005-0000-0000-00005C120000}"/>
    <cellStyle name="Normal 4 2 2 3 3 3 3 2" xfId="13630" xr:uid="{74BFD4BE-6B5E-4E90-8935-51054A336BE5}"/>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88" xr:uid="{AF996BBE-6AE6-4071-9ECB-E30C4301E1A5}"/>
    <cellStyle name="Normal 4 2 2 3 3 4 2 3" xfId="11975" xr:uid="{5761637F-8912-431D-A64B-B3B7C920097A}"/>
    <cellStyle name="Normal 4 2 2 3 3 4 3" xfId="5548" xr:uid="{00000000-0005-0000-0000-000060120000}"/>
    <cellStyle name="Normal 4 2 2 3 3 4 3 2" xfId="14043" xr:uid="{458D6369-3C27-48E8-8707-28CC57BEA6BC}"/>
    <cellStyle name="Normal 4 2 2 3 3 4 4" xfId="9830" xr:uid="{7CBFD2DD-2CF8-45D9-951E-A6365B830156}"/>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601" xr:uid="{BD019D48-1AF5-42F8-8F65-F710B25C10B4}"/>
    <cellStyle name="Normal 4 2 2 3 3 5 2 3" xfId="12388" xr:uid="{465A24D5-B438-4EDC-B759-3BEFEE3868C4}"/>
    <cellStyle name="Normal 4 2 2 3 3 5 3" xfId="5961" xr:uid="{00000000-0005-0000-0000-000064120000}"/>
    <cellStyle name="Normal 4 2 2 3 3 5 3 2" xfId="14456" xr:uid="{FAA997EB-F6B5-47CD-9DC9-138F75F7277B}"/>
    <cellStyle name="Normal 4 2 2 3 3 5 4" xfId="10243" xr:uid="{AB09988B-F10B-4939-A832-54258EA5496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014" xr:uid="{D2A6D442-2842-41FC-8439-844786BAC369}"/>
    <cellStyle name="Normal 4 2 2 3 3 6 2 3" xfId="12801" xr:uid="{560F71AD-2E02-411A-8A95-FCCB06BF0926}"/>
    <cellStyle name="Normal 4 2 2 3 3 6 3" xfId="6374" xr:uid="{00000000-0005-0000-0000-000068120000}"/>
    <cellStyle name="Normal 4 2 2 3 3 6 3 2" xfId="14869" xr:uid="{B6B7E4B3-44B4-4C7A-8473-ECD1AB51B0AA}"/>
    <cellStyle name="Normal 4 2 2 3 3 6 4" xfId="10656" xr:uid="{D7F15BDA-B134-461E-B330-142B45C12A91}"/>
    <cellStyle name="Normal 4 2 2 3 3 7" xfId="2504" xr:uid="{00000000-0005-0000-0000-000069120000}"/>
    <cellStyle name="Normal 4 2 2 3 3 7 2" xfId="6787" xr:uid="{00000000-0005-0000-0000-00006A120000}"/>
    <cellStyle name="Normal 4 2 2 3 3 7 2 2" xfId="15282" xr:uid="{52C99FDA-43E5-4560-B3F4-1403CE0880D0}"/>
    <cellStyle name="Normal 4 2 2 3 3 7 3" xfId="11069" xr:uid="{151804E0-A259-47CA-9C3F-B055B812CC49}"/>
    <cellStyle name="Normal 4 2 2 3 3 8" xfId="4722" xr:uid="{00000000-0005-0000-0000-00006B120000}"/>
    <cellStyle name="Normal 4 2 2 3 3 8 2" xfId="13217" xr:uid="{9BD2271A-DC4F-4C67-8BDC-A2631E8B625A}"/>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77" xr:uid="{14ECF845-6061-4EBF-8949-BB30D8860761}"/>
    <cellStyle name="Normal 4 2 2 3 4 2 2 3" xfId="11564" xr:uid="{1468F43E-BFE7-4F5C-AEC9-85A4CC11484F}"/>
    <cellStyle name="Normal 4 2 2 3 4 2 3" xfId="5137" xr:uid="{00000000-0005-0000-0000-000070120000}"/>
    <cellStyle name="Normal 4 2 2 3 4 2 3 2" xfId="13632" xr:uid="{9028C154-C389-43AA-BFD2-3CC4A8F61F84}"/>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90" xr:uid="{27A3A84B-C11C-4103-B3F9-42CD147B3382}"/>
    <cellStyle name="Normal 4 2 2 3 4 3 2 3" xfId="11977" xr:uid="{D706C595-2738-4F6A-A790-1E95FB80812A}"/>
    <cellStyle name="Normal 4 2 2 3 4 3 3" xfId="5550" xr:uid="{00000000-0005-0000-0000-000074120000}"/>
    <cellStyle name="Normal 4 2 2 3 4 3 3 2" xfId="14045" xr:uid="{B04389A2-F961-42D6-9267-AEE1F3B27D67}"/>
    <cellStyle name="Normal 4 2 2 3 4 3 4" xfId="9832" xr:uid="{069FED3B-5492-444D-AD08-A6107FC5468B}"/>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603" xr:uid="{78591FFC-3309-42DE-BF98-EE2727C60392}"/>
    <cellStyle name="Normal 4 2 2 3 4 4 2 3" xfId="12390" xr:uid="{A610558B-C1AA-4DB6-9E10-0B3FBE48F51E}"/>
    <cellStyle name="Normal 4 2 2 3 4 4 3" xfId="5963" xr:uid="{00000000-0005-0000-0000-000078120000}"/>
    <cellStyle name="Normal 4 2 2 3 4 4 3 2" xfId="14458" xr:uid="{2741470E-BE8A-4424-9F59-B7A249CF61AC}"/>
    <cellStyle name="Normal 4 2 2 3 4 4 4" xfId="10245" xr:uid="{D2EE9621-A1EF-4E38-8ED1-A8F4429E9614}"/>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016" xr:uid="{7440CB39-8FE5-4B25-8FEB-E60E0BFB7B35}"/>
    <cellStyle name="Normal 4 2 2 3 4 5 2 3" xfId="12803" xr:uid="{6F19445A-D7E1-4C17-A76D-0EB4BBF63982}"/>
    <cellStyle name="Normal 4 2 2 3 4 5 3" xfId="6376" xr:uid="{00000000-0005-0000-0000-00007C120000}"/>
    <cellStyle name="Normal 4 2 2 3 4 5 3 2" xfId="14871" xr:uid="{A6529710-9E6E-4555-BC61-86AAF6B3771F}"/>
    <cellStyle name="Normal 4 2 2 3 4 5 4" xfId="10658" xr:uid="{656D114F-15A0-42DD-8042-088C6CCFCDB5}"/>
    <cellStyle name="Normal 4 2 2 3 4 6" xfId="2506" xr:uid="{00000000-0005-0000-0000-00007D120000}"/>
    <cellStyle name="Normal 4 2 2 3 4 6 2" xfId="6789" xr:uid="{00000000-0005-0000-0000-00007E120000}"/>
    <cellStyle name="Normal 4 2 2 3 4 6 2 2" xfId="15284" xr:uid="{F038E495-2704-44E0-8849-585B68F5DAC7}"/>
    <cellStyle name="Normal 4 2 2 3 4 6 3" xfId="11071" xr:uid="{D4404854-568D-428B-9E83-DB386FBAA7DD}"/>
    <cellStyle name="Normal 4 2 2 3 4 7" xfId="4724" xr:uid="{00000000-0005-0000-0000-00007F120000}"/>
    <cellStyle name="Normal 4 2 2 3 4 7 2" xfId="13219" xr:uid="{D5BC5766-A7B2-4175-B74C-FCBB71555D28}"/>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70" xr:uid="{90278C98-2835-4135-98E2-203044BBE029}"/>
    <cellStyle name="Normal 4 2 2 3 5 2 3" xfId="11557" xr:uid="{EAE807DE-8371-4E07-A239-D9ED9D44DCEC}"/>
    <cellStyle name="Normal 4 2 2 3 5 3" xfId="5130" xr:uid="{00000000-0005-0000-0000-000083120000}"/>
    <cellStyle name="Normal 4 2 2 3 5 3 2" xfId="13625" xr:uid="{ECA66A21-551F-4068-93FD-43BD543A5CF1}"/>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83" xr:uid="{9DDC42DE-3073-4B91-A6A6-C026E030C392}"/>
    <cellStyle name="Normal 4 2 2 3 6 2 3" xfId="11970" xr:uid="{907B4D9A-7273-4526-AF5C-055AE213EE91}"/>
    <cellStyle name="Normal 4 2 2 3 6 3" xfId="5543" xr:uid="{00000000-0005-0000-0000-000087120000}"/>
    <cellStyle name="Normal 4 2 2 3 6 3 2" xfId="14038" xr:uid="{170BBD7E-5A42-4711-98AB-56AB9B6C770C}"/>
    <cellStyle name="Normal 4 2 2 3 6 4" xfId="9825" xr:uid="{961EC3CB-9347-455B-948D-7B1A54B2CFCD}"/>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96" xr:uid="{FA2AE4DE-423F-4A9C-94B7-C90947FD8F75}"/>
    <cellStyle name="Normal 4 2 2 3 7 2 3" xfId="12383" xr:uid="{8BBF063B-8382-43F9-B4FF-1A281443D9F3}"/>
    <cellStyle name="Normal 4 2 2 3 7 3" xfId="5956" xr:uid="{00000000-0005-0000-0000-00008B120000}"/>
    <cellStyle name="Normal 4 2 2 3 7 3 2" xfId="14451" xr:uid="{D7B6E535-6B35-45F3-BDDE-C458D059F323}"/>
    <cellStyle name="Normal 4 2 2 3 7 4" xfId="10238" xr:uid="{E7064A8C-4B16-4A29-A839-8F32A1AC72B6}"/>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009" xr:uid="{0E6B7E4F-8EB1-4CDD-ADA3-501F132076C8}"/>
    <cellStyle name="Normal 4 2 2 3 8 2 3" xfId="12796" xr:uid="{EB28F05B-0B04-421F-B49D-6385F41BCFF6}"/>
    <cellStyle name="Normal 4 2 2 3 8 3" xfId="6369" xr:uid="{00000000-0005-0000-0000-00008F120000}"/>
    <cellStyle name="Normal 4 2 2 3 8 3 2" xfId="14864" xr:uid="{78F355E3-A45B-43DD-A7EA-0A5832330F6B}"/>
    <cellStyle name="Normal 4 2 2 3 8 4" xfId="10651" xr:uid="{54111A88-9343-4B6B-8B0B-55768C3ECB7D}"/>
    <cellStyle name="Normal 4 2 2 3 9" xfId="2499" xr:uid="{00000000-0005-0000-0000-000090120000}"/>
    <cellStyle name="Normal 4 2 2 3 9 2" xfId="6782" xr:uid="{00000000-0005-0000-0000-000091120000}"/>
    <cellStyle name="Normal 4 2 2 3 9 2 2" xfId="15277" xr:uid="{94FE077C-B5E6-4CE7-AAFD-67D4FBD123FC}"/>
    <cellStyle name="Normal 4 2 2 3 9 3" xfId="11064" xr:uid="{9237D590-B901-47FA-8D03-13837A977353}"/>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80" xr:uid="{B8C0BDE8-D26A-445F-B61E-191562C14933}"/>
    <cellStyle name="Normal 4 2 2 4 2 2 2 2 3" xfId="11567" xr:uid="{C26501E8-8CF5-440F-BF9B-F90FA0CEBA5C}"/>
    <cellStyle name="Normal 4 2 2 4 2 2 2 3" xfId="5140" xr:uid="{00000000-0005-0000-0000-000098120000}"/>
    <cellStyle name="Normal 4 2 2 4 2 2 2 3 2" xfId="13635" xr:uid="{6F5305DB-9D96-4DDE-B1A6-840E4F56540D}"/>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93" xr:uid="{3E13060F-E8EC-4A3C-A48A-341C27270E32}"/>
    <cellStyle name="Normal 4 2 2 4 2 2 3 2 3" xfId="11980" xr:uid="{4B2E77C6-C46F-4ACE-990F-2AD82DC3ADD5}"/>
    <cellStyle name="Normal 4 2 2 4 2 2 3 3" xfId="5553" xr:uid="{00000000-0005-0000-0000-00009C120000}"/>
    <cellStyle name="Normal 4 2 2 4 2 2 3 3 2" xfId="14048" xr:uid="{245C8736-D81A-4E4F-AA20-E6CB1BA68890}"/>
    <cellStyle name="Normal 4 2 2 4 2 2 3 4" xfId="9835" xr:uid="{D3101F5D-7280-45F4-BC29-941AD273B947}"/>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606" xr:uid="{F174948B-C8F0-4685-AFBF-0F51A07180E9}"/>
    <cellStyle name="Normal 4 2 2 4 2 2 4 2 3" xfId="12393" xr:uid="{7C10DC82-A26C-411A-A364-410F2E3B5804}"/>
    <cellStyle name="Normal 4 2 2 4 2 2 4 3" xfId="5966" xr:uid="{00000000-0005-0000-0000-0000A0120000}"/>
    <cellStyle name="Normal 4 2 2 4 2 2 4 3 2" xfId="14461" xr:uid="{FF20F9B0-DEA9-4994-8E1C-DF0C8B38882C}"/>
    <cellStyle name="Normal 4 2 2 4 2 2 4 4" xfId="10248" xr:uid="{1EDB50CA-CE1F-49B7-84B7-E3F31F394E27}"/>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019" xr:uid="{0A017CC0-B6D6-4484-AB72-CE066F20CD0C}"/>
    <cellStyle name="Normal 4 2 2 4 2 2 5 2 3" xfId="12806" xr:uid="{AC2FA6B8-1603-4756-93F7-D8A126C4C632}"/>
    <cellStyle name="Normal 4 2 2 4 2 2 5 3" xfId="6379" xr:uid="{00000000-0005-0000-0000-0000A4120000}"/>
    <cellStyle name="Normal 4 2 2 4 2 2 5 3 2" xfId="14874" xr:uid="{7895BD43-33D9-4693-B3F8-BD8EA6A6B5BC}"/>
    <cellStyle name="Normal 4 2 2 4 2 2 5 4" xfId="10661" xr:uid="{0B86CB17-4E61-4055-978F-1C410E729C12}"/>
    <cellStyle name="Normal 4 2 2 4 2 2 6" xfId="2509" xr:uid="{00000000-0005-0000-0000-0000A5120000}"/>
    <cellStyle name="Normal 4 2 2 4 2 2 6 2" xfId="6792" xr:uid="{00000000-0005-0000-0000-0000A6120000}"/>
    <cellStyle name="Normal 4 2 2 4 2 2 6 2 2" xfId="15287" xr:uid="{617E1BDF-22B6-42B2-BBF7-1A7EFD99E5B7}"/>
    <cellStyle name="Normal 4 2 2 4 2 2 6 3" xfId="11074" xr:uid="{F3F030E2-D30E-40CA-A7CB-A813CAA0460E}"/>
    <cellStyle name="Normal 4 2 2 4 2 2 7" xfId="4727" xr:uid="{00000000-0005-0000-0000-0000A7120000}"/>
    <cellStyle name="Normal 4 2 2 4 2 2 7 2" xfId="13222" xr:uid="{C46C32E8-CD3C-4E8D-B48C-3A8071F13EA2}"/>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79" xr:uid="{3601663C-E17E-4879-A27E-E2F4642B00E2}"/>
    <cellStyle name="Normal 4 2 2 4 2 3 2 3" xfId="11566" xr:uid="{8CF319B9-E104-4E74-BE52-813C382C7A2F}"/>
    <cellStyle name="Normal 4 2 2 4 2 3 3" xfId="5139" xr:uid="{00000000-0005-0000-0000-0000AB120000}"/>
    <cellStyle name="Normal 4 2 2 4 2 3 3 2" xfId="13634" xr:uid="{309AF64D-A2D8-431B-96EB-FB2DBA9E5EC2}"/>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92" xr:uid="{A50C9642-DA5E-4A11-BB51-4B4C989B9470}"/>
    <cellStyle name="Normal 4 2 2 4 2 4 2 3" xfId="11979" xr:uid="{A267248C-9960-49FF-AA0A-CFDBD666D61C}"/>
    <cellStyle name="Normal 4 2 2 4 2 4 3" xfId="5552" xr:uid="{00000000-0005-0000-0000-0000AF120000}"/>
    <cellStyle name="Normal 4 2 2 4 2 4 3 2" xfId="14047" xr:uid="{F0C1C0B1-B8E4-433F-99EA-62EDDD1FD45E}"/>
    <cellStyle name="Normal 4 2 2 4 2 4 4" xfId="9834" xr:uid="{1C83ACAA-93F6-4EC0-A69A-4DAB05448C4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605" xr:uid="{E0DE25BD-08E1-4E4F-A916-5139C65AD4F1}"/>
    <cellStyle name="Normal 4 2 2 4 2 5 2 3" xfId="12392" xr:uid="{CC5717FB-1834-4057-A0D3-3CEA692F76C2}"/>
    <cellStyle name="Normal 4 2 2 4 2 5 3" xfId="5965" xr:uid="{00000000-0005-0000-0000-0000B3120000}"/>
    <cellStyle name="Normal 4 2 2 4 2 5 3 2" xfId="14460" xr:uid="{D3AD9DD1-A0EB-4447-8A31-8A7300D1441B}"/>
    <cellStyle name="Normal 4 2 2 4 2 5 4" xfId="10247" xr:uid="{778531EE-09D7-49BC-9BE5-C9AB08C9FAE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018" xr:uid="{7A1D7E63-2C21-48CD-ABC5-87258390A089}"/>
    <cellStyle name="Normal 4 2 2 4 2 6 2 3" xfId="12805" xr:uid="{7FE93A92-1521-44F9-98FD-FB707B2DABFB}"/>
    <cellStyle name="Normal 4 2 2 4 2 6 3" xfId="6378" xr:uid="{00000000-0005-0000-0000-0000B7120000}"/>
    <cellStyle name="Normal 4 2 2 4 2 6 3 2" xfId="14873" xr:uid="{C3F27A15-8349-4522-9AE4-90DFF69E183D}"/>
    <cellStyle name="Normal 4 2 2 4 2 6 4" xfId="10660" xr:uid="{A1DF0807-4C21-4244-9F70-67A1747E8727}"/>
    <cellStyle name="Normal 4 2 2 4 2 7" xfId="2508" xr:uid="{00000000-0005-0000-0000-0000B8120000}"/>
    <cellStyle name="Normal 4 2 2 4 2 7 2" xfId="6791" xr:uid="{00000000-0005-0000-0000-0000B9120000}"/>
    <cellStyle name="Normal 4 2 2 4 2 7 2 2" xfId="15286" xr:uid="{62756721-1E04-450F-AB59-98DF4812F407}"/>
    <cellStyle name="Normal 4 2 2 4 2 7 3" xfId="11073" xr:uid="{7F23AA3D-18ED-4D2D-9D9A-F165224A400F}"/>
    <cellStyle name="Normal 4 2 2 4 2 8" xfId="4726" xr:uid="{00000000-0005-0000-0000-0000BA120000}"/>
    <cellStyle name="Normal 4 2 2 4 2 8 2" xfId="13221" xr:uid="{FA87B68F-9244-48BF-BA4D-871BF0353B3A}"/>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81" xr:uid="{7174F46E-DC7B-4005-9E54-5C70EF31A7E5}"/>
    <cellStyle name="Normal 4 2 2 4 3 2 2 3" xfId="11568" xr:uid="{5E12EEB9-9765-4241-8287-0B931D0FD6CD}"/>
    <cellStyle name="Normal 4 2 2 4 3 2 3" xfId="5141" xr:uid="{00000000-0005-0000-0000-0000BF120000}"/>
    <cellStyle name="Normal 4 2 2 4 3 2 3 2" xfId="13636" xr:uid="{148480B9-DC28-4B7E-8258-C71127576E06}"/>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94" xr:uid="{7A933B0A-551A-490C-818B-8E3D37163C40}"/>
    <cellStyle name="Normal 4 2 2 4 3 3 2 3" xfId="11981" xr:uid="{FB5BF86B-3363-44EC-A7B3-B68F614E82AE}"/>
    <cellStyle name="Normal 4 2 2 4 3 3 3" xfId="5554" xr:uid="{00000000-0005-0000-0000-0000C3120000}"/>
    <cellStyle name="Normal 4 2 2 4 3 3 3 2" xfId="14049" xr:uid="{E589640C-E11A-4D9D-9365-7B6839839DFD}"/>
    <cellStyle name="Normal 4 2 2 4 3 3 4" xfId="9836" xr:uid="{73145F4B-D29C-4987-86B5-19759AE3B987}"/>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607" xr:uid="{1FB7FFC7-C47B-4F66-970B-088DAE398B13}"/>
    <cellStyle name="Normal 4 2 2 4 3 4 2 3" xfId="12394" xr:uid="{F2F944A8-18E5-466E-AC9D-F6618D171B59}"/>
    <cellStyle name="Normal 4 2 2 4 3 4 3" xfId="5967" xr:uid="{00000000-0005-0000-0000-0000C7120000}"/>
    <cellStyle name="Normal 4 2 2 4 3 4 3 2" xfId="14462" xr:uid="{249ACFAA-EEFE-4F61-9B35-36A9827178BB}"/>
    <cellStyle name="Normal 4 2 2 4 3 4 4" xfId="10249" xr:uid="{FA528862-ABED-4A4E-8882-D7296021F604}"/>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020" xr:uid="{6CE02204-5C92-4147-9DDB-55B98CBB1879}"/>
    <cellStyle name="Normal 4 2 2 4 3 5 2 3" xfId="12807" xr:uid="{CCDA0D39-CCB7-4AB6-AB0D-F03639C3EA3A}"/>
    <cellStyle name="Normal 4 2 2 4 3 5 3" xfId="6380" xr:uid="{00000000-0005-0000-0000-0000CB120000}"/>
    <cellStyle name="Normal 4 2 2 4 3 5 3 2" xfId="14875" xr:uid="{BDBFB3E3-37E2-4B7E-87FE-7A75B143A807}"/>
    <cellStyle name="Normal 4 2 2 4 3 5 4" xfId="10662" xr:uid="{C91BCC8D-09C5-4285-8AE4-6774DCF74F4E}"/>
    <cellStyle name="Normal 4 2 2 4 3 6" xfId="2510" xr:uid="{00000000-0005-0000-0000-0000CC120000}"/>
    <cellStyle name="Normal 4 2 2 4 3 6 2" xfId="6793" xr:uid="{00000000-0005-0000-0000-0000CD120000}"/>
    <cellStyle name="Normal 4 2 2 4 3 6 2 2" xfId="15288" xr:uid="{520A99F9-F9EE-40C6-A257-0FA142EA5DEB}"/>
    <cellStyle name="Normal 4 2 2 4 3 6 3" xfId="11075" xr:uid="{0D2C58F2-E9B5-4519-8FB4-700E073894C9}"/>
    <cellStyle name="Normal 4 2 2 4 3 7" xfId="4728" xr:uid="{00000000-0005-0000-0000-0000CE120000}"/>
    <cellStyle name="Normal 4 2 2 4 3 7 2" xfId="13223" xr:uid="{6B4751CF-BAC0-4A90-A635-B05A681AB38E}"/>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78" xr:uid="{D071A8C7-F203-46C7-9CBF-B14EAB0C0145}"/>
    <cellStyle name="Normal 4 2 2 4 4 2 3" xfId="11565" xr:uid="{AAE2DB68-6A77-40EA-8E86-0F6A4A603002}"/>
    <cellStyle name="Normal 4 2 2 4 4 3" xfId="5138" xr:uid="{00000000-0005-0000-0000-0000D2120000}"/>
    <cellStyle name="Normal 4 2 2 4 4 3 2" xfId="13633" xr:uid="{A797410D-E198-4BAC-A0CE-69C6E96D851D}"/>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91" xr:uid="{C8494AE5-E339-4695-97A2-F1BDD06F398E}"/>
    <cellStyle name="Normal 4 2 2 4 5 2 3" xfId="11978" xr:uid="{75A7C6A5-B3A3-4850-AC86-C0D1AE838304}"/>
    <cellStyle name="Normal 4 2 2 4 5 3" xfId="5551" xr:uid="{00000000-0005-0000-0000-0000D6120000}"/>
    <cellStyle name="Normal 4 2 2 4 5 3 2" xfId="14046" xr:uid="{8F3F5039-E019-4E8C-A60B-0DB25DAFA3FC}"/>
    <cellStyle name="Normal 4 2 2 4 5 4" xfId="9833" xr:uid="{E16630E5-12BF-45C6-A4BD-D9DDCCCA65A1}"/>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604" xr:uid="{3040203E-11DB-4F42-882B-997DEEB68E8F}"/>
    <cellStyle name="Normal 4 2 2 4 6 2 3" xfId="12391" xr:uid="{863DEBF8-EA15-416C-B725-2A088F1A4ACB}"/>
    <cellStyle name="Normal 4 2 2 4 6 3" xfId="5964" xr:uid="{00000000-0005-0000-0000-0000DA120000}"/>
    <cellStyle name="Normal 4 2 2 4 6 3 2" xfId="14459" xr:uid="{DC9ADA72-8B7D-4F83-BF06-A2BD5FE0468A}"/>
    <cellStyle name="Normal 4 2 2 4 6 4" xfId="10246" xr:uid="{A9FA7CB6-EBF7-4CC0-AD85-BE2B9512BE92}"/>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017" xr:uid="{1AD8E0F2-33BB-46D0-ACDF-B79A45765A71}"/>
    <cellStyle name="Normal 4 2 2 4 7 2 3" xfId="12804" xr:uid="{FE9CBBB1-F68B-4583-B581-7EC6C6927367}"/>
    <cellStyle name="Normal 4 2 2 4 7 3" xfId="6377" xr:uid="{00000000-0005-0000-0000-0000DE120000}"/>
    <cellStyle name="Normal 4 2 2 4 7 3 2" xfId="14872" xr:uid="{45366CCF-2FF3-42A7-8D2C-A82606B9EF9B}"/>
    <cellStyle name="Normal 4 2 2 4 7 4" xfId="10659" xr:uid="{B37BA54F-17EF-4141-8AA6-AABAF370F73F}"/>
    <cellStyle name="Normal 4 2 2 4 8" xfId="2507" xr:uid="{00000000-0005-0000-0000-0000DF120000}"/>
    <cellStyle name="Normal 4 2 2 4 8 2" xfId="6790" xr:uid="{00000000-0005-0000-0000-0000E0120000}"/>
    <cellStyle name="Normal 4 2 2 4 8 2 2" xfId="15285" xr:uid="{CF60603E-6852-49F6-9460-0CD433142D0A}"/>
    <cellStyle name="Normal 4 2 2 4 8 3" xfId="11072" xr:uid="{E1E141E4-4D23-4740-90F7-23D33A414319}"/>
    <cellStyle name="Normal 4 2 2 4 9" xfId="4725" xr:uid="{00000000-0005-0000-0000-0000E1120000}"/>
    <cellStyle name="Normal 4 2 2 4 9 2" xfId="13220" xr:uid="{29F4256B-DA03-4CC0-B575-5A3A0F7F39FA}"/>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83" xr:uid="{958164EE-F6C2-4ED5-970B-8C2FFCA24BBC}"/>
    <cellStyle name="Normal 4 2 2 5 2 2 2 3" xfId="11570" xr:uid="{303B74F8-A86E-40C9-80BE-EF4128735398}"/>
    <cellStyle name="Normal 4 2 2 5 2 2 3" xfId="5143" xr:uid="{00000000-0005-0000-0000-0000E7120000}"/>
    <cellStyle name="Normal 4 2 2 5 2 2 3 2" xfId="13638" xr:uid="{DA34CA8E-9649-40CD-BF28-5E04A0D63D98}"/>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96" xr:uid="{6E92C195-144E-4B36-A9AA-0BCFCF1FA6D2}"/>
    <cellStyle name="Normal 4 2 2 5 2 3 2 3" xfId="11983" xr:uid="{7BE44B83-89D0-4779-9716-3FB56FA9D0BA}"/>
    <cellStyle name="Normal 4 2 2 5 2 3 3" xfId="5556" xr:uid="{00000000-0005-0000-0000-0000EB120000}"/>
    <cellStyle name="Normal 4 2 2 5 2 3 3 2" xfId="14051" xr:uid="{F9C6306C-067E-4FD2-97BC-B4BDC84C08B4}"/>
    <cellStyle name="Normal 4 2 2 5 2 3 4" xfId="9838" xr:uid="{A0B8BD72-60BA-4CF6-BF92-B3AF6EA93BE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609" xr:uid="{A4CAC195-857E-424E-B733-8EDF9C3052C2}"/>
    <cellStyle name="Normal 4 2 2 5 2 4 2 3" xfId="12396" xr:uid="{3ACA28FE-F068-45D0-BEC5-5588C85F47B5}"/>
    <cellStyle name="Normal 4 2 2 5 2 4 3" xfId="5969" xr:uid="{00000000-0005-0000-0000-0000EF120000}"/>
    <cellStyle name="Normal 4 2 2 5 2 4 3 2" xfId="14464" xr:uid="{C3E0F50A-E569-42FD-BB45-4DDB1A7CD2D9}"/>
    <cellStyle name="Normal 4 2 2 5 2 4 4" xfId="10251" xr:uid="{456589C3-CE09-4C41-A52C-2881F3D884FF}"/>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022" xr:uid="{4CD2231E-00AA-480D-B0CD-236325D3D316}"/>
    <cellStyle name="Normal 4 2 2 5 2 5 2 3" xfId="12809" xr:uid="{CF5D2287-65A7-46D0-B38D-144A360BD0B8}"/>
    <cellStyle name="Normal 4 2 2 5 2 5 3" xfId="6382" xr:uid="{00000000-0005-0000-0000-0000F3120000}"/>
    <cellStyle name="Normal 4 2 2 5 2 5 3 2" xfId="14877" xr:uid="{C218D12D-62E1-4C01-A941-205799807F13}"/>
    <cellStyle name="Normal 4 2 2 5 2 5 4" xfId="10664" xr:uid="{30B3FB82-2053-4ED4-A237-E33730F457B0}"/>
    <cellStyle name="Normal 4 2 2 5 2 6" xfId="2512" xr:uid="{00000000-0005-0000-0000-0000F4120000}"/>
    <cellStyle name="Normal 4 2 2 5 2 6 2" xfId="6795" xr:uid="{00000000-0005-0000-0000-0000F5120000}"/>
    <cellStyle name="Normal 4 2 2 5 2 6 2 2" xfId="15290" xr:uid="{67759312-4F46-439E-88C9-4190226AE58B}"/>
    <cellStyle name="Normal 4 2 2 5 2 6 3" xfId="11077" xr:uid="{390984B3-5669-4C66-BA8A-ED0AAD2B01FD}"/>
    <cellStyle name="Normal 4 2 2 5 2 7" xfId="4730" xr:uid="{00000000-0005-0000-0000-0000F6120000}"/>
    <cellStyle name="Normal 4 2 2 5 2 7 2" xfId="13225" xr:uid="{263314A8-1742-41A6-9031-7FCC6A9E7A4F}"/>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82" xr:uid="{BCB31A82-7691-419B-A47C-29696B8EA048}"/>
    <cellStyle name="Normal 4 2 2 5 3 2 3" xfId="11569" xr:uid="{55A53A17-E3DB-4250-A263-1E27D9837ABC}"/>
    <cellStyle name="Normal 4 2 2 5 3 3" xfId="5142" xr:uid="{00000000-0005-0000-0000-0000FA120000}"/>
    <cellStyle name="Normal 4 2 2 5 3 3 2" xfId="13637" xr:uid="{78CD017D-E52E-44A0-A38E-1CEA802FD06B}"/>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95" xr:uid="{2D2D6018-BC61-4AF5-8F0F-54243CFDF77D}"/>
    <cellStyle name="Normal 4 2 2 5 4 2 3" xfId="11982" xr:uid="{BE5CBCE9-EF9D-405F-ACBC-CC98B7714C6B}"/>
    <cellStyle name="Normal 4 2 2 5 4 3" xfId="5555" xr:uid="{00000000-0005-0000-0000-0000FE120000}"/>
    <cellStyle name="Normal 4 2 2 5 4 3 2" xfId="14050" xr:uid="{997F9A69-80AF-420C-8650-84497388EEDF}"/>
    <cellStyle name="Normal 4 2 2 5 4 4" xfId="9837" xr:uid="{15CEAAD2-6D88-471C-8678-1CDA18019D60}"/>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608" xr:uid="{505DE151-EA1C-4C2D-9FB2-3913A682D353}"/>
    <cellStyle name="Normal 4 2 2 5 5 2 3" xfId="12395" xr:uid="{FF44E617-F3D1-4908-840E-D309AB889F01}"/>
    <cellStyle name="Normal 4 2 2 5 5 3" xfId="5968" xr:uid="{00000000-0005-0000-0000-000002130000}"/>
    <cellStyle name="Normal 4 2 2 5 5 3 2" xfId="14463" xr:uid="{B3EDDF06-6958-41DE-91F3-274130C31A6D}"/>
    <cellStyle name="Normal 4 2 2 5 5 4" xfId="10250" xr:uid="{F9FB889F-3CC4-4D9D-B3E4-AED65E340FF8}"/>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021" xr:uid="{C28E430B-B8F8-413F-92C0-127B7BD34187}"/>
    <cellStyle name="Normal 4 2 2 5 6 2 3" xfId="12808" xr:uid="{A32980A6-FC8B-4B9C-8690-3FFE7662025F}"/>
    <cellStyle name="Normal 4 2 2 5 6 3" xfId="6381" xr:uid="{00000000-0005-0000-0000-000006130000}"/>
    <cellStyle name="Normal 4 2 2 5 6 3 2" xfId="14876" xr:uid="{30250DB8-2B98-411E-B94B-7919E98C544E}"/>
    <cellStyle name="Normal 4 2 2 5 6 4" xfId="10663" xr:uid="{B4C43607-01EF-4FFB-A298-C671587E56EA}"/>
    <cellStyle name="Normal 4 2 2 5 7" xfId="2511" xr:uid="{00000000-0005-0000-0000-000007130000}"/>
    <cellStyle name="Normal 4 2 2 5 7 2" xfId="6794" xr:uid="{00000000-0005-0000-0000-000008130000}"/>
    <cellStyle name="Normal 4 2 2 5 7 2 2" xfId="15289" xr:uid="{FB07B24D-277F-4E1B-9E11-1DB1C1A17B0C}"/>
    <cellStyle name="Normal 4 2 2 5 7 3" xfId="11076" xr:uid="{785E1DCE-4A8B-43F7-813F-A7EFA4596255}"/>
    <cellStyle name="Normal 4 2 2 5 8" xfId="4729" xr:uid="{00000000-0005-0000-0000-000009130000}"/>
    <cellStyle name="Normal 4 2 2 5 8 2" xfId="13224" xr:uid="{968BC83A-C381-407D-909B-96227D13F785}"/>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84" xr:uid="{5FDD4160-45B6-4B52-A6ED-C23AF5F3CA99}"/>
    <cellStyle name="Normal 4 2 2 6 2 2 3" xfId="11571" xr:uid="{EC7E80FA-36E3-40C8-A83A-A1E751CF8B9A}"/>
    <cellStyle name="Normal 4 2 2 6 2 3" xfId="5144" xr:uid="{00000000-0005-0000-0000-00000E130000}"/>
    <cellStyle name="Normal 4 2 2 6 2 3 2" xfId="13639" xr:uid="{1F2D2F10-CECC-4E89-A30F-F8A32DFDEC7A}"/>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97" xr:uid="{FD315E59-B043-4460-AC61-49275D2307F4}"/>
    <cellStyle name="Normal 4 2 2 6 3 2 3" xfId="11984" xr:uid="{05438C95-CA41-492D-A136-3DBB408F7342}"/>
    <cellStyle name="Normal 4 2 2 6 3 3" xfId="5557" xr:uid="{00000000-0005-0000-0000-000012130000}"/>
    <cellStyle name="Normal 4 2 2 6 3 3 2" xfId="14052" xr:uid="{D29AE513-5C27-47A0-A37F-BB5D91D07405}"/>
    <cellStyle name="Normal 4 2 2 6 3 4" xfId="9839" xr:uid="{25A6BE54-CAEF-46CD-9D9D-447F583CC49E}"/>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610" xr:uid="{E0C15F34-92FF-4096-8A3D-892D10DD27FE}"/>
    <cellStyle name="Normal 4 2 2 6 4 2 3" xfId="12397" xr:uid="{6B9AF284-9AD6-40B1-B4E7-C9CF71B2CB48}"/>
    <cellStyle name="Normal 4 2 2 6 4 3" xfId="5970" xr:uid="{00000000-0005-0000-0000-000016130000}"/>
    <cellStyle name="Normal 4 2 2 6 4 3 2" xfId="14465" xr:uid="{B573657D-33FE-4415-9959-E5B066778EA0}"/>
    <cellStyle name="Normal 4 2 2 6 4 4" xfId="10252" xr:uid="{8A4897DC-388C-44BF-A14C-6486217044EB}"/>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023" xr:uid="{06469D54-0F67-4BA8-A57C-20345ABDD30D}"/>
    <cellStyle name="Normal 4 2 2 6 5 2 3" xfId="12810" xr:uid="{EA1E376F-5CE7-4DB2-B21D-582707A8314E}"/>
    <cellStyle name="Normal 4 2 2 6 5 3" xfId="6383" xr:uid="{00000000-0005-0000-0000-00001A130000}"/>
    <cellStyle name="Normal 4 2 2 6 5 3 2" xfId="14878" xr:uid="{0BD5C470-23E0-4CB2-AA49-F12EE40E64C9}"/>
    <cellStyle name="Normal 4 2 2 6 5 4" xfId="10665" xr:uid="{E5DB904B-30DD-4305-B7A5-98FEBE694427}"/>
    <cellStyle name="Normal 4 2 2 6 6" xfId="2513" xr:uid="{00000000-0005-0000-0000-00001B130000}"/>
    <cellStyle name="Normal 4 2 2 6 6 2" xfId="6796" xr:uid="{00000000-0005-0000-0000-00001C130000}"/>
    <cellStyle name="Normal 4 2 2 6 6 2 2" xfId="15291" xr:uid="{C7D114F2-68E7-455F-A08F-863A348806B1}"/>
    <cellStyle name="Normal 4 2 2 6 6 3" xfId="11078" xr:uid="{4C6D2C82-4236-4307-9484-A3C2FBE7DE56}"/>
    <cellStyle name="Normal 4 2 2 6 7" xfId="4731" xr:uid="{00000000-0005-0000-0000-00001D130000}"/>
    <cellStyle name="Normal 4 2 2 6 7 2" xfId="13226" xr:uid="{BFFBDABA-862E-4FEC-ADBE-1EC8997C40C8}"/>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2 2 2" xfId="15769" xr:uid="{1EAE7CC4-7D40-4B95-9ED4-B4621B195D84}"/>
    <cellStyle name="Normal 4 2 2 7 2 3" xfId="11556" xr:uid="{F2C6AAFE-EEED-4791-910A-353CE776DF3E}"/>
    <cellStyle name="Normal 4 2 2 7 3" xfId="5129" xr:uid="{00000000-0005-0000-0000-000021130000}"/>
    <cellStyle name="Normal 4 2 2 7 3 2" xfId="13624" xr:uid="{B026FB95-737C-4B04-9F62-794681E2837B}"/>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2 2 2" xfId="16182" xr:uid="{0E3AB601-04C9-464B-BC72-40CB2F9CFCBE}"/>
    <cellStyle name="Normal 4 2 2 8 2 3" xfId="11969" xr:uid="{B7008170-6B12-45B7-A8E6-B3C7CF470263}"/>
    <cellStyle name="Normal 4 2 2 8 3" xfId="5542" xr:uid="{00000000-0005-0000-0000-000025130000}"/>
    <cellStyle name="Normal 4 2 2 8 3 2" xfId="14037" xr:uid="{C89917C9-E0D1-4B35-82A6-38A02AA898A9}"/>
    <cellStyle name="Normal 4 2 2 8 4" xfId="9824" xr:uid="{017908BB-3B6A-4F9E-86A3-1159010241E2}"/>
    <cellStyle name="Normal 4 2 2 9" xfId="1648" xr:uid="{00000000-0005-0000-0000-000026130000}"/>
    <cellStyle name="Normal 4 2 2 9 2" xfId="3878" xr:uid="{00000000-0005-0000-0000-000027130000}"/>
    <cellStyle name="Normal 4 2 2 9 2 2" xfId="8100" xr:uid="{00000000-0005-0000-0000-000028130000}"/>
    <cellStyle name="Normal 4 2 2 9 2 2 2" xfId="16595" xr:uid="{251DF8CF-556E-4B2E-B782-6ED53411502C}"/>
    <cellStyle name="Normal 4 2 2 9 2 3" xfId="12382" xr:uid="{6973F74E-B3AA-496D-A9BA-8D2C730A941F}"/>
    <cellStyle name="Normal 4 2 2 9 3" xfId="5955" xr:uid="{00000000-0005-0000-0000-000029130000}"/>
    <cellStyle name="Normal 4 2 2 9 3 2" xfId="14450" xr:uid="{93621317-EC6F-4DAF-AE98-2BF9BC1CD375}"/>
    <cellStyle name="Normal 4 2 2 9 4" xfId="10237" xr:uid="{0A3C5487-8187-46E0-839E-1419E4CADCA5}"/>
    <cellStyle name="Normal 4 2 3" xfId="354" xr:uid="{00000000-0005-0000-0000-00002A130000}"/>
    <cellStyle name="Normal 4 2 4" xfId="355" xr:uid="{00000000-0005-0000-0000-00002B130000}"/>
    <cellStyle name="Normal 4 2 4 10" xfId="4732" xr:uid="{00000000-0005-0000-0000-00002C130000}"/>
    <cellStyle name="Normal 4 2 4 10 2" xfId="13227" xr:uid="{D74BDDB0-F903-4311-9255-6EE54AEF38EF}"/>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88" xr:uid="{764DB82F-1AB3-435A-B754-9EFAE262C5C9}"/>
    <cellStyle name="Normal 4 2 4 2 2 2 2 2 3" xfId="11575" xr:uid="{3E1C2361-6950-42EF-86B4-D409E01E5E3F}"/>
    <cellStyle name="Normal 4 2 4 2 2 2 2 3" xfId="5148" xr:uid="{00000000-0005-0000-0000-000033130000}"/>
    <cellStyle name="Normal 4 2 4 2 2 2 2 3 2" xfId="13643" xr:uid="{FE7F2048-DEB4-4106-B821-7AEA4E97D458}"/>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201" xr:uid="{6ADF7F6C-1AC8-4EBD-AB5F-9810F1731963}"/>
    <cellStyle name="Normal 4 2 4 2 2 2 3 2 3" xfId="11988" xr:uid="{E6967D6D-8A32-48E0-A4AE-D778888359C8}"/>
    <cellStyle name="Normal 4 2 4 2 2 2 3 3" xfId="5561" xr:uid="{00000000-0005-0000-0000-000037130000}"/>
    <cellStyle name="Normal 4 2 4 2 2 2 3 3 2" xfId="14056" xr:uid="{8F7B890D-848B-4EA4-9ADE-B3E675D671BA}"/>
    <cellStyle name="Normal 4 2 4 2 2 2 3 4" xfId="9843" xr:uid="{3F13DF06-8076-4925-A33E-C400EFBC3A98}"/>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614" xr:uid="{A8C1AE9F-FA5E-423D-9670-9E200DA57654}"/>
    <cellStyle name="Normal 4 2 4 2 2 2 4 2 3" xfId="12401" xr:uid="{F3FE4585-BF47-449D-B782-562B448E70A6}"/>
    <cellStyle name="Normal 4 2 4 2 2 2 4 3" xfId="5974" xr:uid="{00000000-0005-0000-0000-00003B130000}"/>
    <cellStyle name="Normal 4 2 4 2 2 2 4 3 2" xfId="14469" xr:uid="{1C41978D-3354-426A-99FB-4AE86C7EBB92}"/>
    <cellStyle name="Normal 4 2 4 2 2 2 4 4" xfId="10256" xr:uid="{38D27DD6-3F7E-4875-8EF7-D90307476788}"/>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027" xr:uid="{DD87917D-C03F-417B-BFAB-30DA0F580A2C}"/>
    <cellStyle name="Normal 4 2 4 2 2 2 5 2 3" xfId="12814" xr:uid="{57345DAD-28D4-43E1-A5BB-7D56599BB3DF}"/>
    <cellStyle name="Normal 4 2 4 2 2 2 5 3" xfId="6387" xr:uid="{00000000-0005-0000-0000-00003F130000}"/>
    <cellStyle name="Normal 4 2 4 2 2 2 5 3 2" xfId="14882" xr:uid="{48A90984-86DE-4E16-A7F1-1F129F21A667}"/>
    <cellStyle name="Normal 4 2 4 2 2 2 5 4" xfId="10669" xr:uid="{5B336ECD-D6D4-469C-A6A2-BDB33C5AED3C}"/>
    <cellStyle name="Normal 4 2 4 2 2 2 6" xfId="2517" xr:uid="{00000000-0005-0000-0000-000040130000}"/>
    <cellStyle name="Normal 4 2 4 2 2 2 6 2" xfId="6800" xr:uid="{00000000-0005-0000-0000-000041130000}"/>
    <cellStyle name="Normal 4 2 4 2 2 2 6 2 2" xfId="15295" xr:uid="{B0E7968C-CF15-459E-8C0D-35D9A1EA9A1A}"/>
    <cellStyle name="Normal 4 2 4 2 2 2 6 3" xfId="11082" xr:uid="{F2CBFE64-B717-46F2-8D1D-EEFA80AE12D3}"/>
    <cellStyle name="Normal 4 2 4 2 2 2 7" xfId="4735" xr:uid="{00000000-0005-0000-0000-000042130000}"/>
    <cellStyle name="Normal 4 2 4 2 2 2 7 2" xfId="13230" xr:uid="{9141BCF1-3F74-4A67-BF30-63B6780BE305}"/>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87" xr:uid="{FEF5AADE-31EE-463E-8292-E24D4EDA8127}"/>
    <cellStyle name="Normal 4 2 4 2 2 3 2 3" xfId="11574" xr:uid="{CB56913F-A381-4C40-A209-CA2335604AAC}"/>
    <cellStyle name="Normal 4 2 4 2 2 3 3" xfId="5147" xr:uid="{00000000-0005-0000-0000-000046130000}"/>
    <cellStyle name="Normal 4 2 4 2 2 3 3 2" xfId="13642" xr:uid="{DFDE7F76-2CB1-4854-8B49-55AE18E8A2D5}"/>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200" xr:uid="{4668A96C-F921-4801-B459-6E14C265BA2D}"/>
    <cellStyle name="Normal 4 2 4 2 2 4 2 3" xfId="11987" xr:uid="{98D0013B-4465-4E53-92B7-BBAC3D8B49F1}"/>
    <cellStyle name="Normal 4 2 4 2 2 4 3" xfId="5560" xr:uid="{00000000-0005-0000-0000-00004A130000}"/>
    <cellStyle name="Normal 4 2 4 2 2 4 3 2" xfId="14055" xr:uid="{141AEB10-CA6D-4772-9301-ABD56C8BAA62}"/>
    <cellStyle name="Normal 4 2 4 2 2 4 4" xfId="9842" xr:uid="{8029E3B1-2C8F-43FC-A197-245144EFA0C4}"/>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613" xr:uid="{0E334E98-EB23-422B-95B9-A7D2D0D11E7D}"/>
    <cellStyle name="Normal 4 2 4 2 2 5 2 3" xfId="12400" xr:uid="{7C878F7E-23AD-4FB8-824D-4694D331331F}"/>
    <cellStyle name="Normal 4 2 4 2 2 5 3" xfId="5973" xr:uid="{00000000-0005-0000-0000-00004E130000}"/>
    <cellStyle name="Normal 4 2 4 2 2 5 3 2" xfId="14468" xr:uid="{427E6023-5C6A-425A-A79A-005101649982}"/>
    <cellStyle name="Normal 4 2 4 2 2 5 4" xfId="10255" xr:uid="{B3578060-18B4-4D29-9AE4-42BB28A5810F}"/>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026" xr:uid="{3DD0B54B-B067-49C2-8E3D-0402A5A8DD84}"/>
    <cellStyle name="Normal 4 2 4 2 2 6 2 3" xfId="12813" xr:uid="{AA73F945-CD12-4D18-9AD8-16294C6579E6}"/>
    <cellStyle name="Normal 4 2 4 2 2 6 3" xfId="6386" xr:uid="{00000000-0005-0000-0000-000052130000}"/>
    <cellStyle name="Normal 4 2 4 2 2 6 3 2" xfId="14881" xr:uid="{E8717BB1-91F3-45D6-B159-30448B69BD35}"/>
    <cellStyle name="Normal 4 2 4 2 2 6 4" xfId="10668" xr:uid="{712C17B7-E577-4C50-BD88-330813AB06AA}"/>
    <cellStyle name="Normal 4 2 4 2 2 7" xfId="2516" xr:uid="{00000000-0005-0000-0000-000053130000}"/>
    <cellStyle name="Normal 4 2 4 2 2 7 2" xfId="6799" xr:uid="{00000000-0005-0000-0000-000054130000}"/>
    <cellStyle name="Normal 4 2 4 2 2 7 2 2" xfId="15294" xr:uid="{2235BF99-0B56-4834-984D-BE51D1EAE6AB}"/>
    <cellStyle name="Normal 4 2 4 2 2 7 3" xfId="11081" xr:uid="{6DB8C7FD-ED15-4C7A-BA2D-3A3A9588AE46}"/>
    <cellStyle name="Normal 4 2 4 2 2 8" xfId="4734" xr:uid="{00000000-0005-0000-0000-000055130000}"/>
    <cellStyle name="Normal 4 2 4 2 2 8 2" xfId="13229" xr:uid="{E62DF9C6-6803-4E91-A470-21DA77F9F40D}"/>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89" xr:uid="{4E328017-2F4B-4596-95C5-348FF4EBC74E}"/>
    <cellStyle name="Normal 4 2 4 2 3 2 2 3" xfId="11576" xr:uid="{1DB6DAED-51AA-4580-8017-1393943FA608}"/>
    <cellStyle name="Normal 4 2 4 2 3 2 3" xfId="5149" xr:uid="{00000000-0005-0000-0000-00005A130000}"/>
    <cellStyle name="Normal 4 2 4 2 3 2 3 2" xfId="13644" xr:uid="{24BA2CEF-B854-4E28-ABEB-BB49E4044DB7}"/>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202" xr:uid="{C92C5D8B-6463-4ACD-BA5F-9BD173CE0A7B}"/>
    <cellStyle name="Normal 4 2 4 2 3 3 2 3" xfId="11989" xr:uid="{B75CC468-B1BF-4531-A01A-D31AF623E0B3}"/>
    <cellStyle name="Normal 4 2 4 2 3 3 3" xfId="5562" xr:uid="{00000000-0005-0000-0000-00005E130000}"/>
    <cellStyle name="Normal 4 2 4 2 3 3 3 2" xfId="14057" xr:uid="{91ABF35C-620E-445D-8609-0471B6185311}"/>
    <cellStyle name="Normal 4 2 4 2 3 3 4" xfId="9844" xr:uid="{5338C8C1-2DD9-467E-ACB8-8D16A2589F4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615" xr:uid="{A429347B-DA37-4F7B-AF6E-FD2908239C0A}"/>
    <cellStyle name="Normal 4 2 4 2 3 4 2 3" xfId="12402" xr:uid="{4E9F2561-2F33-4F3D-B527-5052881E098A}"/>
    <cellStyle name="Normal 4 2 4 2 3 4 3" xfId="5975" xr:uid="{00000000-0005-0000-0000-000062130000}"/>
    <cellStyle name="Normal 4 2 4 2 3 4 3 2" xfId="14470" xr:uid="{CAE2B5AC-C0D9-4DA6-9E35-816E3F322EBC}"/>
    <cellStyle name="Normal 4 2 4 2 3 4 4" xfId="10257" xr:uid="{ADD562B4-49DA-4D7A-B67F-33C39C7114E2}"/>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028" xr:uid="{E6621E80-280D-4BC3-9ED9-7FCB47A3A988}"/>
    <cellStyle name="Normal 4 2 4 2 3 5 2 3" xfId="12815" xr:uid="{87E1B3B6-D917-4A29-83A4-7762A065FBF0}"/>
    <cellStyle name="Normal 4 2 4 2 3 5 3" xfId="6388" xr:uid="{00000000-0005-0000-0000-000066130000}"/>
    <cellStyle name="Normal 4 2 4 2 3 5 3 2" xfId="14883" xr:uid="{09C57E89-3807-4D2A-A7AF-F54B573DF13C}"/>
    <cellStyle name="Normal 4 2 4 2 3 5 4" xfId="10670" xr:uid="{AE8EED0C-656E-4DFE-94ED-B8397C5280F9}"/>
    <cellStyle name="Normal 4 2 4 2 3 6" xfId="2518" xr:uid="{00000000-0005-0000-0000-000067130000}"/>
    <cellStyle name="Normal 4 2 4 2 3 6 2" xfId="6801" xr:uid="{00000000-0005-0000-0000-000068130000}"/>
    <cellStyle name="Normal 4 2 4 2 3 6 2 2" xfId="15296" xr:uid="{539FB4FE-8C54-4A59-AD01-F41B9496C31B}"/>
    <cellStyle name="Normal 4 2 4 2 3 6 3" xfId="11083" xr:uid="{E2614F6F-283D-49CD-A36C-BCBA271E3357}"/>
    <cellStyle name="Normal 4 2 4 2 3 7" xfId="4736" xr:uid="{00000000-0005-0000-0000-000069130000}"/>
    <cellStyle name="Normal 4 2 4 2 3 7 2" xfId="13231" xr:uid="{1E5DE04F-3162-4CCD-B7B5-76CB10CF0C6B}"/>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86" xr:uid="{A1376E34-6C06-441A-8940-E88181EAA900}"/>
    <cellStyle name="Normal 4 2 4 2 4 2 3" xfId="11573" xr:uid="{5709CCD6-B9EC-4C05-9487-3CE4BDCC8AA6}"/>
    <cellStyle name="Normal 4 2 4 2 4 3" xfId="5146" xr:uid="{00000000-0005-0000-0000-00006D130000}"/>
    <cellStyle name="Normal 4 2 4 2 4 3 2" xfId="13641" xr:uid="{50C15F44-B774-444C-AAB5-B4C888F190CF}"/>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99" xr:uid="{87EDDD5C-EFF7-4F3F-8DEB-8387CF370125}"/>
    <cellStyle name="Normal 4 2 4 2 5 2 3" xfId="11986" xr:uid="{C399EB57-9B4D-422F-B846-E646A51B4155}"/>
    <cellStyle name="Normal 4 2 4 2 5 3" xfId="5559" xr:uid="{00000000-0005-0000-0000-000071130000}"/>
    <cellStyle name="Normal 4 2 4 2 5 3 2" xfId="14054" xr:uid="{CF52513A-11D4-42F5-B857-6C7F6890D87A}"/>
    <cellStyle name="Normal 4 2 4 2 5 4" xfId="9841" xr:uid="{B58E5507-772D-40A8-96A0-B2324B1ECD8D}"/>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612" xr:uid="{634FCC23-5275-4A20-84E0-8244F44951F2}"/>
    <cellStyle name="Normal 4 2 4 2 6 2 3" xfId="12399" xr:uid="{D7017B52-2145-49A9-BCDB-9D8934E10E0D}"/>
    <cellStyle name="Normal 4 2 4 2 6 3" xfId="5972" xr:uid="{00000000-0005-0000-0000-000075130000}"/>
    <cellStyle name="Normal 4 2 4 2 6 3 2" xfId="14467" xr:uid="{709B70D7-13D3-4000-ADCE-0A707BA2E60F}"/>
    <cellStyle name="Normal 4 2 4 2 6 4" xfId="10254" xr:uid="{9669A3DD-5FD1-4DEA-8E9A-41B20C813500}"/>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025" xr:uid="{766D3FBC-A0AC-459E-9474-DA85C8FE0421}"/>
    <cellStyle name="Normal 4 2 4 2 7 2 3" xfId="12812" xr:uid="{DAB8FC56-5C0A-40B6-9FDD-43DF332AAAC9}"/>
    <cellStyle name="Normal 4 2 4 2 7 3" xfId="6385" xr:uid="{00000000-0005-0000-0000-000079130000}"/>
    <cellStyle name="Normal 4 2 4 2 7 3 2" xfId="14880" xr:uid="{2E43EDC0-CA13-49B5-8EC4-E9513CF15B4F}"/>
    <cellStyle name="Normal 4 2 4 2 7 4" xfId="10667" xr:uid="{43B8831F-0D7A-496F-B6F5-41C5068C125D}"/>
    <cellStyle name="Normal 4 2 4 2 8" xfId="2515" xr:uid="{00000000-0005-0000-0000-00007A130000}"/>
    <cellStyle name="Normal 4 2 4 2 8 2" xfId="6798" xr:uid="{00000000-0005-0000-0000-00007B130000}"/>
    <cellStyle name="Normal 4 2 4 2 8 2 2" xfId="15293" xr:uid="{C7106756-7B86-40AC-8C59-EBA7E9664E37}"/>
    <cellStyle name="Normal 4 2 4 2 8 3" xfId="11080" xr:uid="{0C3FD409-7062-444A-A648-3218B738C17C}"/>
    <cellStyle name="Normal 4 2 4 2 9" xfId="4733" xr:uid="{00000000-0005-0000-0000-00007C130000}"/>
    <cellStyle name="Normal 4 2 4 2 9 2" xfId="13228" xr:uid="{C28D826D-E60C-4E21-95CB-3E6AB1DFA5A6}"/>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91" xr:uid="{F9F6DDEC-29B4-49E3-87B7-713C797FAECE}"/>
    <cellStyle name="Normal 4 2 4 3 2 2 2 3" xfId="11578" xr:uid="{52ACEF79-B7D1-4167-B6EB-0279308A26D1}"/>
    <cellStyle name="Normal 4 2 4 3 2 2 3" xfId="5151" xr:uid="{00000000-0005-0000-0000-000082130000}"/>
    <cellStyle name="Normal 4 2 4 3 2 2 3 2" xfId="13646" xr:uid="{43CF9644-A800-4588-A482-7C92ED1C3688}"/>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204" xr:uid="{B42AA04F-AD87-4358-9891-61D3225089EC}"/>
    <cellStyle name="Normal 4 2 4 3 2 3 2 3" xfId="11991" xr:uid="{98537C07-B64B-45FB-9326-62077CA1B900}"/>
    <cellStyle name="Normal 4 2 4 3 2 3 3" xfId="5564" xr:uid="{00000000-0005-0000-0000-000086130000}"/>
    <cellStyle name="Normal 4 2 4 3 2 3 3 2" xfId="14059" xr:uid="{C13779C1-F6B2-4778-A17F-515CA17F6006}"/>
    <cellStyle name="Normal 4 2 4 3 2 3 4" xfId="9846" xr:uid="{EA662BA1-8EAF-4B31-87CF-BD077D2B85FA}"/>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617" xr:uid="{BD5B3A88-98B9-4BB4-90FD-052B6BCE9B4B}"/>
    <cellStyle name="Normal 4 2 4 3 2 4 2 3" xfId="12404" xr:uid="{214C09FB-C690-4BAA-85E4-0EFF878881FC}"/>
    <cellStyle name="Normal 4 2 4 3 2 4 3" xfId="5977" xr:uid="{00000000-0005-0000-0000-00008A130000}"/>
    <cellStyle name="Normal 4 2 4 3 2 4 3 2" xfId="14472" xr:uid="{1ACF0720-4999-4A09-9CE4-0253B9C392EC}"/>
    <cellStyle name="Normal 4 2 4 3 2 4 4" xfId="10259" xr:uid="{CD89F826-7B6D-411D-90AF-89E2051945B9}"/>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030" xr:uid="{3D299A08-CE43-4CE4-AB4F-73105389A812}"/>
    <cellStyle name="Normal 4 2 4 3 2 5 2 3" xfId="12817" xr:uid="{B5187CAD-D8BD-422F-93AB-9C19C3B5DEBD}"/>
    <cellStyle name="Normal 4 2 4 3 2 5 3" xfId="6390" xr:uid="{00000000-0005-0000-0000-00008E130000}"/>
    <cellStyle name="Normal 4 2 4 3 2 5 3 2" xfId="14885" xr:uid="{297D3A64-2FCD-42EC-B2B8-BB73AA51E69D}"/>
    <cellStyle name="Normal 4 2 4 3 2 5 4" xfId="10672" xr:uid="{5B8D1C49-98B6-456D-8B46-FF4D5E5060D1}"/>
    <cellStyle name="Normal 4 2 4 3 2 6" xfId="2520" xr:uid="{00000000-0005-0000-0000-00008F130000}"/>
    <cellStyle name="Normal 4 2 4 3 2 6 2" xfId="6803" xr:uid="{00000000-0005-0000-0000-000090130000}"/>
    <cellStyle name="Normal 4 2 4 3 2 6 2 2" xfId="15298" xr:uid="{46F19230-5959-40A1-BDAE-3CDCB7E315E5}"/>
    <cellStyle name="Normal 4 2 4 3 2 6 3" xfId="11085" xr:uid="{F46A8C23-35E1-42DE-B2B5-D3EE57CF8941}"/>
    <cellStyle name="Normal 4 2 4 3 2 7" xfId="4738" xr:uid="{00000000-0005-0000-0000-000091130000}"/>
    <cellStyle name="Normal 4 2 4 3 2 7 2" xfId="13233" xr:uid="{CB05D9C1-A59F-45FA-8E3A-CD1DA6B2B662}"/>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90" xr:uid="{8A517C4A-E850-4BC0-AA01-2B25F22B77E4}"/>
    <cellStyle name="Normal 4 2 4 3 3 2 3" xfId="11577" xr:uid="{433C4BEA-7AB3-4837-A39B-E0001D98E0AB}"/>
    <cellStyle name="Normal 4 2 4 3 3 3" xfId="5150" xr:uid="{00000000-0005-0000-0000-000095130000}"/>
    <cellStyle name="Normal 4 2 4 3 3 3 2" xfId="13645" xr:uid="{D8B03C0D-0980-42FA-BF36-023713787C2D}"/>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203" xr:uid="{66E4C69A-F0B1-443F-AF26-511A8F24CABA}"/>
    <cellStyle name="Normal 4 2 4 3 4 2 3" xfId="11990" xr:uid="{4070220D-6238-4EA9-B636-5BA4398017CD}"/>
    <cellStyle name="Normal 4 2 4 3 4 3" xfId="5563" xr:uid="{00000000-0005-0000-0000-000099130000}"/>
    <cellStyle name="Normal 4 2 4 3 4 3 2" xfId="14058" xr:uid="{A1C97F92-2DDB-4FCF-98BB-ACF68DDF520D}"/>
    <cellStyle name="Normal 4 2 4 3 4 4" xfId="9845" xr:uid="{D35C273B-7324-4EFC-BAC4-418C27768DF4}"/>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616" xr:uid="{FFD14CAB-61A7-4DC6-896C-35300C360C78}"/>
    <cellStyle name="Normal 4 2 4 3 5 2 3" xfId="12403" xr:uid="{11C993CD-5919-43D8-ADA2-92B1C48D7761}"/>
    <cellStyle name="Normal 4 2 4 3 5 3" xfId="5976" xr:uid="{00000000-0005-0000-0000-00009D130000}"/>
    <cellStyle name="Normal 4 2 4 3 5 3 2" xfId="14471" xr:uid="{A0753BFB-C27D-4B17-A727-D28BF45CBBA2}"/>
    <cellStyle name="Normal 4 2 4 3 5 4" xfId="10258" xr:uid="{5DAC3677-5D50-437F-BA3F-795236B55476}"/>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029" xr:uid="{CCAB375E-6725-46AA-975F-575735EECD68}"/>
    <cellStyle name="Normal 4 2 4 3 6 2 3" xfId="12816" xr:uid="{082C915D-E2CB-4298-8361-318BF2AF0C15}"/>
    <cellStyle name="Normal 4 2 4 3 6 3" xfId="6389" xr:uid="{00000000-0005-0000-0000-0000A1130000}"/>
    <cellStyle name="Normal 4 2 4 3 6 3 2" xfId="14884" xr:uid="{10CC0C87-0317-4EC1-95FD-C9CFA8CEBB69}"/>
    <cellStyle name="Normal 4 2 4 3 6 4" xfId="10671" xr:uid="{2B19E0DA-25EC-4D78-8CC0-81D79C882DF3}"/>
    <cellStyle name="Normal 4 2 4 3 7" xfId="2519" xr:uid="{00000000-0005-0000-0000-0000A2130000}"/>
    <cellStyle name="Normal 4 2 4 3 7 2" xfId="6802" xr:uid="{00000000-0005-0000-0000-0000A3130000}"/>
    <cellStyle name="Normal 4 2 4 3 7 2 2" xfId="15297" xr:uid="{ECCA8345-5E43-4029-8F77-8220DC121821}"/>
    <cellStyle name="Normal 4 2 4 3 7 3" xfId="11084" xr:uid="{51FF628D-299C-471A-B450-0CA23CA29CEE}"/>
    <cellStyle name="Normal 4 2 4 3 8" xfId="4737" xr:uid="{00000000-0005-0000-0000-0000A4130000}"/>
    <cellStyle name="Normal 4 2 4 3 8 2" xfId="13232" xr:uid="{351FF643-2421-4AE1-ACEF-645F4F1BCD91}"/>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92" xr:uid="{6929F51A-570F-40A6-A50E-FCDE0C8EC5CC}"/>
    <cellStyle name="Normal 4 2 4 4 2 2 3" xfId="11579" xr:uid="{2659EF6B-F46B-4309-9473-7A77EEE8254B}"/>
    <cellStyle name="Normal 4 2 4 4 2 3" xfId="5152" xr:uid="{00000000-0005-0000-0000-0000A9130000}"/>
    <cellStyle name="Normal 4 2 4 4 2 3 2" xfId="13647" xr:uid="{6F00BB64-0F78-486A-A63C-2223AE22B4B2}"/>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205" xr:uid="{EC39E6E8-CCEE-49E5-9A5B-51CCD0B01926}"/>
    <cellStyle name="Normal 4 2 4 4 3 2 3" xfId="11992" xr:uid="{BE5D9170-E113-454E-8E82-83279B6C5292}"/>
    <cellStyle name="Normal 4 2 4 4 3 3" xfId="5565" xr:uid="{00000000-0005-0000-0000-0000AD130000}"/>
    <cellStyle name="Normal 4 2 4 4 3 3 2" xfId="14060" xr:uid="{0F1F87D1-6174-4308-A907-56015E4309F9}"/>
    <cellStyle name="Normal 4 2 4 4 3 4" xfId="9847" xr:uid="{D067CA52-C584-4489-9713-58BFFB9F998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618" xr:uid="{8886656A-E03C-46C8-A01E-E723490E1FC0}"/>
    <cellStyle name="Normal 4 2 4 4 4 2 3" xfId="12405" xr:uid="{923E900A-8DB7-4EF1-A8CE-4F29CD65F528}"/>
    <cellStyle name="Normal 4 2 4 4 4 3" xfId="5978" xr:uid="{00000000-0005-0000-0000-0000B1130000}"/>
    <cellStyle name="Normal 4 2 4 4 4 3 2" xfId="14473" xr:uid="{69E8C793-597D-44F4-ADEB-22CAB77D8C17}"/>
    <cellStyle name="Normal 4 2 4 4 4 4" xfId="10260" xr:uid="{FAF8F921-C57A-4F5D-8DC7-C3705C9A8B3D}"/>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031" xr:uid="{C78C5B44-9936-4DFA-8CE5-D1642DA92095}"/>
    <cellStyle name="Normal 4 2 4 4 5 2 3" xfId="12818" xr:uid="{A48747F8-8D8D-4541-A849-5BFBDF43B042}"/>
    <cellStyle name="Normal 4 2 4 4 5 3" xfId="6391" xr:uid="{00000000-0005-0000-0000-0000B5130000}"/>
    <cellStyle name="Normal 4 2 4 4 5 3 2" xfId="14886" xr:uid="{DFC01BEE-F6E7-4966-98C1-6B4956791EFC}"/>
    <cellStyle name="Normal 4 2 4 4 5 4" xfId="10673" xr:uid="{B9938842-05AA-4628-A400-BEE3C3E1843D}"/>
    <cellStyle name="Normal 4 2 4 4 6" xfId="2521" xr:uid="{00000000-0005-0000-0000-0000B6130000}"/>
    <cellStyle name="Normal 4 2 4 4 6 2" xfId="6804" xr:uid="{00000000-0005-0000-0000-0000B7130000}"/>
    <cellStyle name="Normal 4 2 4 4 6 2 2" xfId="15299" xr:uid="{90AA0DD1-25F6-4403-8424-1CE4387A1474}"/>
    <cellStyle name="Normal 4 2 4 4 6 3" xfId="11086" xr:uid="{F9A7BAA1-4094-46A2-B1A6-5FBB4E64A7D8}"/>
    <cellStyle name="Normal 4 2 4 4 7" xfId="4739" xr:uid="{00000000-0005-0000-0000-0000B8130000}"/>
    <cellStyle name="Normal 4 2 4 4 7 2" xfId="13234" xr:uid="{D59D5112-0234-45AF-A98A-A031DB7CF156}"/>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2 2 2" xfId="15785" xr:uid="{155C0CE7-6430-432E-9BF6-6591E7ACC42E}"/>
    <cellStyle name="Normal 4 2 4 5 2 3" xfId="11572" xr:uid="{66B6FC01-71A3-4B21-9D10-66040EE3E275}"/>
    <cellStyle name="Normal 4 2 4 5 3" xfId="5145" xr:uid="{00000000-0005-0000-0000-0000BC130000}"/>
    <cellStyle name="Normal 4 2 4 5 3 2" xfId="13640" xr:uid="{862058C8-0CFF-4B8A-A121-7FD555555316}"/>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2 2 2" xfId="16198" xr:uid="{700A072D-4A5A-48D3-AC71-952135F34F6B}"/>
    <cellStyle name="Normal 4 2 4 6 2 3" xfId="11985" xr:uid="{B674F51C-BDE2-45B4-8161-62DFCB7C6546}"/>
    <cellStyle name="Normal 4 2 4 6 3" xfId="5558" xr:uid="{00000000-0005-0000-0000-0000C0130000}"/>
    <cellStyle name="Normal 4 2 4 6 3 2" xfId="14053" xr:uid="{DEE57F15-661D-49C0-96E4-EEFA5BA625A0}"/>
    <cellStyle name="Normal 4 2 4 6 4" xfId="9840" xr:uid="{82DA6DBA-66C7-4B6A-8F97-54B93D922FA4}"/>
    <cellStyle name="Normal 4 2 4 7" xfId="1664" xr:uid="{00000000-0005-0000-0000-0000C1130000}"/>
    <cellStyle name="Normal 4 2 4 7 2" xfId="3894" xr:uid="{00000000-0005-0000-0000-0000C2130000}"/>
    <cellStyle name="Normal 4 2 4 7 2 2" xfId="8116" xr:uid="{00000000-0005-0000-0000-0000C3130000}"/>
    <cellStyle name="Normal 4 2 4 7 2 2 2" xfId="16611" xr:uid="{53055ED1-B0BF-4F95-9DD5-011CD8443DC1}"/>
    <cellStyle name="Normal 4 2 4 7 2 3" xfId="12398" xr:uid="{77BC295C-F9D8-4F96-B92B-1DEBE0CD2E8B}"/>
    <cellStyle name="Normal 4 2 4 7 3" xfId="5971" xr:uid="{00000000-0005-0000-0000-0000C4130000}"/>
    <cellStyle name="Normal 4 2 4 7 3 2" xfId="14466" xr:uid="{1595BE1D-CC85-4ADD-932A-0FB7A1934349}"/>
    <cellStyle name="Normal 4 2 4 7 4" xfId="10253" xr:uid="{13DE269E-AF9A-4F28-A72A-85882C090C81}"/>
    <cellStyle name="Normal 4 2 4 8" xfId="2078" xr:uid="{00000000-0005-0000-0000-0000C5130000}"/>
    <cellStyle name="Normal 4 2 4 8 2" xfId="4307" xr:uid="{00000000-0005-0000-0000-0000C6130000}"/>
    <cellStyle name="Normal 4 2 4 8 2 2" xfId="8529" xr:uid="{00000000-0005-0000-0000-0000C7130000}"/>
    <cellStyle name="Normal 4 2 4 8 2 2 2" xfId="17024" xr:uid="{183D2251-B470-40DE-A992-89872C6CBE2F}"/>
    <cellStyle name="Normal 4 2 4 8 2 3" xfId="12811" xr:uid="{76A91494-25C0-4C1A-A2EE-261C924CABB5}"/>
    <cellStyle name="Normal 4 2 4 8 3" xfId="6384" xr:uid="{00000000-0005-0000-0000-0000C8130000}"/>
    <cellStyle name="Normal 4 2 4 8 3 2" xfId="14879" xr:uid="{A0B42232-5FA3-4014-88D3-F8765854E0DD}"/>
    <cellStyle name="Normal 4 2 4 8 4" xfId="10666" xr:uid="{2A93361B-E916-41FA-B388-D20A0F7069D0}"/>
    <cellStyle name="Normal 4 2 4 9" xfId="2514" xr:uid="{00000000-0005-0000-0000-0000C9130000}"/>
    <cellStyle name="Normal 4 2 4 9 2" xfId="6797" xr:uid="{00000000-0005-0000-0000-0000CA130000}"/>
    <cellStyle name="Normal 4 2 4 9 2 2" xfId="15292" xr:uid="{2B433383-6462-40AE-850E-70896E0B7C08}"/>
    <cellStyle name="Normal 4 2 4 9 3" xfId="11079" xr:uid="{1586781A-8CB9-4BAA-B59D-5861EACEA1CF}"/>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94" xr:uid="{E4BF83B3-B7CF-4DC9-92B5-E2BF61A09C79}"/>
    <cellStyle name="Normal 4 2 5 2 2 2 3" xfId="11581" xr:uid="{3FCD332B-52A0-406C-AEC5-E4CE7BFFBEEE}"/>
    <cellStyle name="Normal 4 2 5 2 2 3" xfId="5154" xr:uid="{00000000-0005-0000-0000-0000D0130000}"/>
    <cellStyle name="Normal 4 2 5 2 2 3 2" xfId="13649" xr:uid="{98FEBAC8-FE30-42B9-9760-5D515BE44F2E}"/>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207" xr:uid="{33C226B6-DBAE-4F97-9324-A769E47F90B7}"/>
    <cellStyle name="Normal 4 2 5 2 3 2 3" xfId="11994" xr:uid="{52E332DE-2D15-4B31-8DDA-0A18354EA3C7}"/>
    <cellStyle name="Normal 4 2 5 2 3 3" xfId="5567" xr:uid="{00000000-0005-0000-0000-0000D4130000}"/>
    <cellStyle name="Normal 4 2 5 2 3 3 2" xfId="14062" xr:uid="{4C84F192-C3F9-4945-A415-F32A54A5AAF8}"/>
    <cellStyle name="Normal 4 2 5 2 3 4" xfId="9849" xr:uid="{B5DC0F14-A860-4699-8892-0A11FA1DCF4E}"/>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620" xr:uid="{51876EDA-C3C8-4B03-AEF2-9D9D030BD9B5}"/>
    <cellStyle name="Normal 4 2 5 2 4 2 3" xfId="12407" xr:uid="{8C776736-3A88-4DD3-A6BA-EB4F47740DD9}"/>
    <cellStyle name="Normal 4 2 5 2 4 3" xfId="5980" xr:uid="{00000000-0005-0000-0000-0000D8130000}"/>
    <cellStyle name="Normal 4 2 5 2 4 3 2" xfId="14475" xr:uid="{5809B574-0C40-4EF4-ABD2-B0277D5CF57F}"/>
    <cellStyle name="Normal 4 2 5 2 4 4" xfId="10262" xr:uid="{14C6B14C-0ADE-4B5B-A81F-F1E9F1B99646}"/>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033" xr:uid="{8EBC4924-7917-4504-9E46-01154B112BB6}"/>
    <cellStyle name="Normal 4 2 5 2 5 2 3" xfId="12820" xr:uid="{8B7D1B5A-FB41-4860-B931-883B28B9E6DD}"/>
    <cellStyle name="Normal 4 2 5 2 5 3" xfId="6393" xr:uid="{00000000-0005-0000-0000-0000DC130000}"/>
    <cellStyle name="Normal 4 2 5 2 5 3 2" xfId="14888" xr:uid="{BB02D0A7-44D8-468A-94D2-48928C712C46}"/>
    <cellStyle name="Normal 4 2 5 2 5 4" xfId="10675" xr:uid="{E25622A6-259A-443D-87BA-72BC2BF44470}"/>
    <cellStyle name="Normal 4 2 5 2 6" xfId="2523" xr:uid="{00000000-0005-0000-0000-0000DD130000}"/>
    <cellStyle name="Normal 4 2 5 2 6 2" xfId="6806" xr:uid="{00000000-0005-0000-0000-0000DE130000}"/>
    <cellStyle name="Normal 4 2 5 2 6 2 2" xfId="15301" xr:uid="{F3B289A9-CD1F-4F3B-91C5-34CE7D04BB1C}"/>
    <cellStyle name="Normal 4 2 5 2 6 3" xfId="11088" xr:uid="{AE9E5EE7-499E-4F2F-832D-F0E17C3F0159}"/>
    <cellStyle name="Normal 4 2 5 2 7" xfId="4741" xr:uid="{00000000-0005-0000-0000-0000DF130000}"/>
    <cellStyle name="Normal 4 2 5 2 7 2" xfId="13236" xr:uid="{DAF6004D-3CE4-4480-888A-4C78DC778158}"/>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2 2 2" xfId="15793" xr:uid="{CB9E7A38-9943-4F48-995D-BD1E2B4BDAF4}"/>
    <cellStyle name="Normal 4 2 5 3 2 3" xfId="11580" xr:uid="{8ECB482E-1BB9-4678-8395-406A1822E749}"/>
    <cellStyle name="Normal 4 2 5 3 3" xfId="5153" xr:uid="{00000000-0005-0000-0000-0000E3130000}"/>
    <cellStyle name="Normal 4 2 5 3 3 2" xfId="13648" xr:uid="{160446AD-1EFF-430B-BB36-58DABAA8E67C}"/>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2 2 2" xfId="16206" xr:uid="{360E976E-3E18-4174-B17F-B2C0ECBBF87F}"/>
    <cellStyle name="Normal 4 2 5 4 2 3" xfId="11993" xr:uid="{2B2FCCC8-5682-4704-880D-B6E3A6938899}"/>
    <cellStyle name="Normal 4 2 5 4 3" xfId="5566" xr:uid="{00000000-0005-0000-0000-0000E7130000}"/>
    <cellStyle name="Normal 4 2 5 4 3 2" xfId="14061" xr:uid="{4E1D4B9B-2C3D-43F0-9CB7-88894EEE8D07}"/>
    <cellStyle name="Normal 4 2 5 4 4" xfId="9848" xr:uid="{E6C78A89-761B-41A5-9BBF-3B174F732171}"/>
    <cellStyle name="Normal 4 2 5 5" xfId="1672" xr:uid="{00000000-0005-0000-0000-0000E8130000}"/>
    <cellStyle name="Normal 4 2 5 5 2" xfId="3902" xr:uid="{00000000-0005-0000-0000-0000E9130000}"/>
    <cellStyle name="Normal 4 2 5 5 2 2" xfId="8124" xr:uid="{00000000-0005-0000-0000-0000EA130000}"/>
    <cellStyle name="Normal 4 2 5 5 2 2 2" xfId="16619" xr:uid="{3131270D-276A-4978-B24B-637096CBC3B2}"/>
    <cellStyle name="Normal 4 2 5 5 2 3" xfId="12406" xr:uid="{498BEFDA-22EB-402D-AF08-EF8D390E8405}"/>
    <cellStyle name="Normal 4 2 5 5 3" xfId="5979" xr:uid="{00000000-0005-0000-0000-0000EB130000}"/>
    <cellStyle name="Normal 4 2 5 5 3 2" xfId="14474" xr:uid="{D24DAFD3-4ACB-4319-9990-1EC7B84B0A77}"/>
    <cellStyle name="Normal 4 2 5 5 4" xfId="10261" xr:uid="{4D14000B-8018-45F0-9022-28780914B439}"/>
    <cellStyle name="Normal 4 2 5 6" xfId="2086" xr:uid="{00000000-0005-0000-0000-0000EC130000}"/>
    <cellStyle name="Normal 4 2 5 6 2" xfId="4315" xr:uid="{00000000-0005-0000-0000-0000ED130000}"/>
    <cellStyle name="Normal 4 2 5 6 2 2" xfId="8537" xr:uid="{00000000-0005-0000-0000-0000EE130000}"/>
    <cellStyle name="Normal 4 2 5 6 2 2 2" xfId="17032" xr:uid="{05464468-7CA1-42AF-ADF4-DAF29822F431}"/>
    <cellStyle name="Normal 4 2 5 6 2 3" xfId="12819" xr:uid="{EB11455F-2D28-43A8-BDD5-EBA8353B0ABC}"/>
    <cellStyle name="Normal 4 2 5 6 3" xfId="6392" xr:uid="{00000000-0005-0000-0000-0000EF130000}"/>
    <cellStyle name="Normal 4 2 5 6 3 2" xfId="14887" xr:uid="{CB33E82F-5A8F-4661-8F3C-3B32C6ADDAB2}"/>
    <cellStyle name="Normal 4 2 5 6 4" xfId="10674" xr:uid="{1AB8A914-6779-4BC3-A80D-17DECF2E8FB5}"/>
    <cellStyle name="Normal 4 2 5 7" xfId="2522" xr:uid="{00000000-0005-0000-0000-0000F0130000}"/>
    <cellStyle name="Normal 4 2 5 7 2" xfId="6805" xr:uid="{00000000-0005-0000-0000-0000F1130000}"/>
    <cellStyle name="Normal 4 2 5 7 2 2" xfId="15300" xr:uid="{3EC862A0-71F2-45EB-A8BC-33BD557557C1}"/>
    <cellStyle name="Normal 4 2 5 7 3" xfId="11087" xr:uid="{DE6347E4-3704-42B4-83DF-D1D78A4967F5}"/>
    <cellStyle name="Normal 4 2 5 8" xfId="4740" xr:uid="{00000000-0005-0000-0000-0000F2130000}"/>
    <cellStyle name="Normal 4 2 5 8 2" xfId="13235" xr:uid="{6B78A7B3-A123-49D4-8C03-FA55CBD93D8E}"/>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95" xr:uid="{2BFBA3FE-14BF-462A-92CD-6F88E73C96B5}"/>
    <cellStyle name="Normal 4 2 6 2 2 3" xfId="11582" xr:uid="{34D7A7D8-71FA-4074-9FFD-716AC818495F}"/>
    <cellStyle name="Normal 4 2 6 2 3" xfId="5155" xr:uid="{00000000-0005-0000-0000-0000F7130000}"/>
    <cellStyle name="Normal 4 2 6 2 3 2" xfId="13650" xr:uid="{4EF3B870-4663-444E-9F56-B7E800415D21}"/>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2 2 2" xfId="16208" xr:uid="{17F6595A-A099-4975-BA3C-FC4AABB115A9}"/>
    <cellStyle name="Normal 4 2 6 3 2 3" xfId="11995" xr:uid="{563C1165-0165-4B17-A11C-E4B8C52BE9FC}"/>
    <cellStyle name="Normal 4 2 6 3 3" xfId="5568" xr:uid="{00000000-0005-0000-0000-0000FB130000}"/>
    <cellStyle name="Normal 4 2 6 3 3 2" xfId="14063" xr:uid="{9EE3E28D-09DC-40CA-8D19-4E45404C00E9}"/>
    <cellStyle name="Normal 4 2 6 3 4" xfId="9850" xr:uid="{B022961E-10EF-4F5F-888E-C5A83789052B}"/>
    <cellStyle name="Normal 4 2 6 4" xfId="1674" xr:uid="{00000000-0005-0000-0000-0000FC130000}"/>
    <cellStyle name="Normal 4 2 6 4 2" xfId="3904" xr:uid="{00000000-0005-0000-0000-0000FD130000}"/>
    <cellStyle name="Normal 4 2 6 4 2 2" xfId="8126" xr:uid="{00000000-0005-0000-0000-0000FE130000}"/>
    <cellStyle name="Normal 4 2 6 4 2 2 2" xfId="16621" xr:uid="{DA2B0039-1442-4D64-8FDF-270A6071271C}"/>
    <cellStyle name="Normal 4 2 6 4 2 3" xfId="12408" xr:uid="{D940E118-AC83-49CF-A1DF-FAFEE4047EE4}"/>
    <cellStyle name="Normal 4 2 6 4 3" xfId="5981" xr:uid="{00000000-0005-0000-0000-0000FF130000}"/>
    <cellStyle name="Normal 4 2 6 4 3 2" xfId="14476" xr:uid="{CF13A466-E551-41BA-9FBA-307C9F97CF8E}"/>
    <cellStyle name="Normal 4 2 6 4 4" xfId="10263" xr:uid="{DB87CC60-3A8F-464E-8E9E-688F5766F5AB}"/>
    <cellStyle name="Normal 4 2 6 5" xfId="2088" xr:uid="{00000000-0005-0000-0000-000000140000}"/>
    <cellStyle name="Normal 4 2 6 5 2" xfId="4317" xr:uid="{00000000-0005-0000-0000-000001140000}"/>
    <cellStyle name="Normal 4 2 6 5 2 2" xfId="8539" xr:uid="{00000000-0005-0000-0000-000002140000}"/>
    <cellStyle name="Normal 4 2 6 5 2 2 2" xfId="17034" xr:uid="{725B8126-C40B-41C4-9BA5-6376B709AEDB}"/>
    <cellStyle name="Normal 4 2 6 5 2 3" xfId="12821" xr:uid="{2EEAF3BB-79C1-4339-9E3E-1A73C68567FB}"/>
    <cellStyle name="Normal 4 2 6 5 3" xfId="6394" xr:uid="{00000000-0005-0000-0000-000003140000}"/>
    <cellStyle name="Normal 4 2 6 5 3 2" xfId="14889" xr:uid="{030451F0-93D2-4FEF-80B6-D7016608EFE8}"/>
    <cellStyle name="Normal 4 2 6 5 4" xfId="10676" xr:uid="{96D2FDE3-3BB8-4F31-9A9A-51CD09F80ABA}"/>
    <cellStyle name="Normal 4 2 6 6" xfId="2524" xr:uid="{00000000-0005-0000-0000-000004140000}"/>
    <cellStyle name="Normal 4 2 6 6 2" xfId="6807" xr:uid="{00000000-0005-0000-0000-000005140000}"/>
    <cellStyle name="Normal 4 2 6 6 2 2" xfId="15302" xr:uid="{FCCCE449-D6DA-4663-BB52-6014C922DE25}"/>
    <cellStyle name="Normal 4 2 6 6 3" xfId="11089" xr:uid="{7C5ACDA4-25B1-4DE6-9782-5D71BF82950F}"/>
    <cellStyle name="Normal 4 2 6 7" xfId="4742" xr:uid="{00000000-0005-0000-0000-000006140000}"/>
    <cellStyle name="Normal 4 2 6 7 2" xfId="13237" xr:uid="{18558227-0B34-46E5-8922-4958E011BF02}"/>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99" xr:uid="{DCFCE39D-70C7-43DD-8F0E-329BDBBA5F48}"/>
    <cellStyle name="Normal 4 3 2 2 2 2 2 2 2 3" xfId="11586" xr:uid="{0CE2B957-01A2-4D3B-B624-BAF9C62B51AD}"/>
    <cellStyle name="Normal 4 3 2 2 2 2 2 2 3" xfId="5159" xr:uid="{00000000-0005-0000-0000-000010140000}"/>
    <cellStyle name="Normal 4 3 2 2 2 2 2 2 3 2" xfId="13654" xr:uid="{A5B08563-5351-498E-8C0A-5056AC9FDB65}"/>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212" xr:uid="{8B346A36-D6CA-4FE4-AA0F-0BDB696DED4F}"/>
    <cellStyle name="Normal 4 3 2 2 2 2 2 3 2 3" xfId="11999" xr:uid="{44782CC9-D18E-4AB7-B629-FBEB56283A6A}"/>
    <cellStyle name="Normal 4 3 2 2 2 2 2 3 3" xfId="5572" xr:uid="{00000000-0005-0000-0000-000014140000}"/>
    <cellStyle name="Normal 4 3 2 2 2 2 2 3 3 2" xfId="14067" xr:uid="{D9AB8B97-6B70-4422-A570-78F58A0F5018}"/>
    <cellStyle name="Normal 4 3 2 2 2 2 2 3 4" xfId="9854" xr:uid="{C19694A4-31E1-486B-AD5E-A30AB147DC25}"/>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625" xr:uid="{46EB7495-31A5-43F4-8BA5-DF19F48F91AD}"/>
    <cellStyle name="Normal 4 3 2 2 2 2 2 4 2 3" xfId="12412" xr:uid="{BEB38876-7849-416E-A49F-1204B8CB5686}"/>
    <cellStyle name="Normal 4 3 2 2 2 2 2 4 3" xfId="5985" xr:uid="{00000000-0005-0000-0000-000018140000}"/>
    <cellStyle name="Normal 4 3 2 2 2 2 2 4 3 2" xfId="14480" xr:uid="{1A756ABA-218D-4FDA-A984-E7376D84FD92}"/>
    <cellStyle name="Normal 4 3 2 2 2 2 2 4 4" xfId="10267" xr:uid="{498BD72E-47A8-4BD0-B484-B8882456B698}"/>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038" xr:uid="{0142DBFB-3D7A-47ED-8F00-BD7D6C5B4F30}"/>
    <cellStyle name="Normal 4 3 2 2 2 2 2 5 2 3" xfId="12825" xr:uid="{B69E6000-F6FC-461E-80B8-1F0A11251552}"/>
    <cellStyle name="Normal 4 3 2 2 2 2 2 5 3" xfId="6398" xr:uid="{00000000-0005-0000-0000-00001C140000}"/>
    <cellStyle name="Normal 4 3 2 2 2 2 2 5 3 2" xfId="14893" xr:uid="{6D13DE45-1CB2-4905-95CC-CC83B2465417}"/>
    <cellStyle name="Normal 4 3 2 2 2 2 2 5 4" xfId="10680" xr:uid="{7DBD5F85-0955-425B-A81A-EB8C3AFA1D5B}"/>
    <cellStyle name="Normal 4 3 2 2 2 2 2 6" xfId="2528" xr:uid="{00000000-0005-0000-0000-00001D140000}"/>
    <cellStyle name="Normal 4 3 2 2 2 2 2 6 2" xfId="6811" xr:uid="{00000000-0005-0000-0000-00001E140000}"/>
    <cellStyle name="Normal 4 3 2 2 2 2 2 6 2 2" xfId="15306" xr:uid="{C142BC98-75F1-4303-99C8-5C0A93563B1B}"/>
    <cellStyle name="Normal 4 3 2 2 2 2 2 6 3" xfId="11093" xr:uid="{E3F3C03D-AB5E-421E-9E04-F084A4155B81}"/>
    <cellStyle name="Normal 4 3 2 2 2 2 2 7" xfId="4746" xr:uid="{00000000-0005-0000-0000-00001F140000}"/>
    <cellStyle name="Normal 4 3 2 2 2 2 2 7 2" xfId="13241" xr:uid="{6AAB0243-36E5-4D08-8830-68DD0EA2A8EB}"/>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98" xr:uid="{8D77F753-AC5E-4C0B-B78B-B2DC7E25F34E}"/>
    <cellStyle name="Normal 4 3 2 2 2 2 3 2 3" xfId="11585" xr:uid="{1E1CC94E-BC33-497D-A13C-09E6BA929F90}"/>
    <cellStyle name="Normal 4 3 2 2 2 2 3 3" xfId="5158" xr:uid="{00000000-0005-0000-0000-000023140000}"/>
    <cellStyle name="Normal 4 3 2 2 2 2 3 3 2" xfId="13653" xr:uid="{67C72110-53E3-4C59-86DC-D28E06CB42A3}"/>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211" xr:uid="{7FFA2C57-96D0-45DA-8EF8-CB78CAC39231}"/>
    <cellStyle name="Normal 4 3 2 2 2 2 4 2 3" xfId="11998" xr:uid="{2857B5D0-1290-426E-94D5-06AC5AB0F34F}"/>
    <cellStyle name="Normal 4 3 2 2 2 2 4 3" xfId="5571" xr:uid="{00000000-0005-0000-0000-000027140000}"/>
    <cellStyle name="Normal 4 3 2 2 2 2 4 3 2" xfId="14066" xr:uid="{54222513-0F97-4959-897F-39930C54030F}"/>
    <cellStyle name="Normal 4 3 2 2 2 2 4 4" xfId="9853" xr:uid="{640BA5F8-F4AB-4108-8122-8FB3DDE98D39}"/>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624" xr:uid="{257F0FE5-32D4-4228-B37B-6332C5941C9C}"/>
    <cellStyle name="Normal 4 3 2 2 2 2 5 2 3" xfId="12411" xr:uid="{B28C8998-C4A3-4153-B45D-68C364C1C8D7}"/>
    <cellStyle name="Normal 4 3 2 2 2 2 5 3" xfId="5984" xr:uid="{00000000-0005-0000-0000-00002B140000}"/>
    <cellStyle name="Normal 4 3 2 2 2 2 5 3 2" xfId="14479" xr:uid="{4A52BC4C-4CF0-4169-B720-121558DF6C08}"/>
    <cellStyle name="Normal 4 3 2 2 2 2 5 4" xfId="10266" xr:uid="{8EE69020-ADBF-476F-8DD8-D0AFF02E96D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037" xr:uid="{00F370A7-F1CC-4CF3-AB8B-E7F7503FEF58}"/>
    <cellStyle name="Normal 4 3 2 2 2 2 6 2 3" xfId="12824" xr:uid="{2DA04540-0C31-432A-B99C-D9596DEC5D60}"/>
    <cellStyle name="Normal 4 3 2 2 2 2 6 3" xfId="6397" xr:uid="{00000000-0005-0000-0000-00002F140000}"/>
    <cellStyle name="Normal 4 3 2 2 2 2 6 3 2" xfId="14892" xr:uid="{3F7EA614-7F13-4D79-9F52-F17ECBF12377}"/>
    <cellStyle name="Normal 4 3 2 2 2 2 6 4" xfId="10679" xr:uid="{093DC324-4F81-4089-8FEC-EE1747B66D2C}"/>
    <cellStyle name="Normal 4 3 2 2 2 2 7" xfId="2527" xr:uid="{00000000-0005-0000-0000-000030140000}"/>
    <cellStyle name="Normal 4 3 2 2 2 2 7 2" xfId="6810" xr:uid="{00000000-0005-0000-0000-000031140000}"/>
    <cellStyle name="Normal 4 3 2 2 2 2 7 2 2" xfId="15305" xr:uid="{13013812-C506-4A26-97C7-31CC2D3552E5}"/>
    <cellStyle name="Normal 4 3 2 2 2 2 7 3" xfId="11092" xr:uid="{658F375A-F0AE-411C-9D28-F4DF1D5ED582}"/>
    <cellStyle name="Normal 4 3 2 2 2 2 8" xfId="4745" xr:uid="{00000000-0005-0000-0000-000032140000}"/>
    <cellStyle name="Normal 4 3 2 2 2 2 8 2" xfId="13240" xr:uid="{61C0AB85-AC4C-46DC-8CE1-B1E1D02F0E18}"/>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800" xr:uid="{C60BBFCE-C524-4C5E-9ACC-1A0F1D4444A4}"/>
    <cellStyle name="Normal 4 3 2 2 2 3 2 2 3" xfId="11587" xr:uid="{B1D63D0B-5F05-4A4C-A42D-58F7FBDED370}"/>
    <cellStyle name="Normal 4 3 2 2 2 3 2 3" xfId="5160" xr:uid="{00000000-0005-0000-0000-000037140000}"/>
    <cellStyle name="Normal 4 3 2 2 2 3 2 3 2" xfId="13655" xr:uid="{7FF95B4E-A31D-4D30-973A-F1B6B7969613}"/>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213" xr:uid="{244C5396-372B-4558-A579-1C288EA53D11}"/>
    <cellStyle name="Normal 4 3 2 2 2 3 3 2 3" xfId="12000" xr:uid="{3CB20C34-08BD-44D2-BEFA-EA7611A7E215}"/>
    <cellStyle name="Normal 4 3 2 2 2 3 3 3" xfId="5573" xr:uid="{00000000-0005-0000-0000-00003B140000}"/>
    <cellStyle name="Normal 4 3 2 2 2 3 3 3 2" xfId="14068" xr:uid="{CB31E7F6-561E-4ED2-8269-471B3ADD8500}"/>
    <cellStyle name="Normal 4 3 2 2 2 3 3 4" xfId="9855" xr:uid="{557FB529-F363-44C5-B431-A00180DAFFCB}"/>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626" xr:uid="{A9C21D2E-2A64-4D1C-8AA8-903E91D5CDA3}"/>
    <cellStyle name="Normal 4 3 2 2 2 3 4 2 3" xfId="12413" xr:uid="{B54C6CEE-7110-4BE2-98CF-5CC8B8FC7AA2}"/>
    <cellStyle name="Normal 4 3 2 2 2 3 4 3" xfId="5986" xr:uid="{00000000-0005-0000-0000-00003F140000}"/>
    <cellStyle name="Normal 4 3 2 2 2 3 4 3 2" xfId="14481" xr:uid="{33168275-1DC4-4197-B99E-6E528A4ECD9F}"/>
    <cellStyle name="Normal 4 3 2 2 2 3 4 4" xfId="10268" xr:uid="{A0B5AA3B-2E15-4DFC-8895-049E1185FC6A}"/>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039" xr:uid="{BAF999AE-C6F6-4650-86BC-F4E2CA1D5785}"/>
    <cellStyle name="Normal 4 3 2 2 2 3 5 2 3" xfId="12826" xr:uid="{12DE325E-B822-4D87-9BBF-BA27C1723D8E}"/>
    <cellStyle name="Normal 4 3 2 2 2 3 5 3" xfId="6399" xr:uid="{00000000-0005-0000-0000-000043140000}"/>
    <cellStyle name="Normal 4 3 2 2 2 3 5 3 2" xfId="14894" xr:uid="{05343930-B3C5-45B4-8B99-6CFEA07233CE}"/>
    <cellStyle name="Normal 4 3 2 2 2 3 5 4" xfId="10681" xr:uid="{6B1E0EB9-4EAA-4D51-9860-23478CD56822}"/>
    <cellStyle name="Normal 4 3 2 2 2 3 6" xfId="2529" xr:uid="{00000000-0005-0000-0000-000044140000}"/>
    <cellStyle name="Normal 4 3 2 2 2 3 6 2" xfId="6812" xr:uid="{00000000-0005-0000-0000-000045140000}"/>
    <cellStyle name="Normal 4 3 2 2 2 3 6 2 2" xfId="15307" xr:uid="{C53CEED8-EEA5-487A-A9C3-A138C26F6C23}"/>
    <cellStyle name="Normal 4 3 2 2 2 3 6 3" xfId="11094" xr:uid="{F49C86BB-B0B3-4081-AE2E-3B8F74502D17}"/>
    <cellStyle name="Normal 4 3 2 2 2 3 7" xfId="4747" xr:uid="{00000000-0005-0000-0000-000046140000}"/>
    <cellStyle name="Normal 4 3 2 2 2 3 7 2" xfId="13242" xr:uid="{AF7AD3EC-8CC9-4225-B2DF-7F5703D1475A}"/>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97" xr:uid="{F223157A-9A5F-424A-9F61-9284AB263766}"/>
    <cellStyle name="Normal 4 3 2 2 2 4 2 3" xfId="11584" xr:uid="{AB791A55-EABD-4EAB-9A97-6F15E7ADF208}"/>
    <cellStyle name="Normal 4 3 2 2 2 4 3" xfId="5157" xr:uid="{00000000-0005-0000-0000-00004A140000}"/>
    <cellStyle name="Normal 4 3 2 2 2 4 3 2" xfId="13652" xr:uid="{8645BB7C-E514-4E6E-93BB-FF1311385EC6}"/>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210" xr:uid="{60FEA0DA-D065-451D-AC18-D252BC60CDA1}"/>
    <cellStyle name="Normal 4 3 2 2 2 5 2 3" xfId="11997" xr:uid="{EDE14825-0926-434E-A520-DD1DCF2975E6}"/>
    <cellStyle name="Normal 4 3 2 2 2 5 3" xfId="5570" xr:uid="{00000000-0005-0000-0000-00004E140000}"/>
    <cellStyle name="Normal 4 3 2 2 2 5 3 2" xfId="14065" xr:uid="{6EC4FE61-A175-4189-BE48-8B2DDDBE67EE}"/>
    <cellStyle name="Normal 4 3 2 2 2 5 4" xfId="9852" xr:uid="{05B23E11-27AC-4E4A-B215-B6D239AC4612}"/>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623" xr:uid="{4AA9507F-0549-41FE-B661-9D9EEB5C1056}"/>
    <cellStyle name="Normal 4 3 2 2 2 6 2 3" xfId="12410" xr:uid="{89C90D4F-695E-4B90-8B27-8F9AD76C9CE8}"/>
    <cellStyle name="Normal 4 3 2 2 2 6 3" xfId="5983" xr:uid="{00000000-0005-0000-0000-000052140000}"/>
    <cellStyle name="Normal 4 3 2 2 2 6 3 2" xfId="14478" xr:uid="{A9B25441-33D4-4E70-A07E-2FB97ACC4498}"/>
    <cellStyle name="Normal 4 3 2 2 2 6 4" xfId="10265" xr:uid="{ED95F8A4-7B2F-46A3-99CF-FDCC91E715A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036" xr:uid="{200E6DB2-B354-45A6-8DC0-12993C6D0B23}"/>
    <cellStyle name="Normal 4 3 2 2 2 7 2 3" xfId="12823" xr:uid="{CA9097CB-2942-46B8-A77D-DB8ED03331DD}"/>
    <cellStyle name="Normal 4 3 2 2 2 7 3" xfId="6396" xr:uid="{00000000-0005-0000-0000-000056140000}"/>
    <cellStyle name="Normal 4 3 2 2 2 7 3 2" xfId="14891" xr:uid="{A9A2673D-025B-40D9-9A59-F3B9DBE34198}"/>
    <cellStyle name="Normal 4 3 2 2 2 7 4" xfId="10678" xr:uid="{BC88D5C8-04B8-4A6E-8935-4EBD5DA8A075}"/>
    <cellStyle name="Normal 4 3 2 2 2 8" xfId="2526" xr:uid="{00000000-0005-0000-0000-000057140000}"/>
    <cellStyle name="Normal 4 3 2 2 2 8 2" xfId="6809" xr:uid="{00000000-0005-0000-0000-000058140000}"/>
    <cellStyle name="Normal 4 3 2 2 2 8 2 2" xfId="15304" xr:uid="{911EF28B-44B6-45B5-A5AE-08A969EC625A}"/>
    <cellStyle name="Normal 4 3 2 2 2 8 3" xfId="11091" xr:uid="{5CB1EC07-455F-4C30-8C17-80216EE6FB4E}"/>
    <cellStyle name="Normal 4 3 2 2 2 9" xfId="4744" xr:uid="{00000000-0005-0000-0000-000059140000}"/>
    <cellStyle name="Normal 4 3 2 2 2 9 2" xfId="13239" xr:uid="{81599F09-DBD4-47F3-9626-C075FBD3679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803" xr:uid="{DBE667A5-7277-42C1-8F68-B1385D216205}"/>
    <cellStyle name="Normal 4 3 3 2 2 2 2 3" xfId="11590" xr:uid="{EEA8A8CD-528D-4629-BE8B-6CF4ADE4D550}"/>
    <cellStyle name="Normal 4 3 3 2 2 2 3" xfId="5163" xr:uid="{00000000-0005-0000-0000-000063140000}"/>
    <cellStyle name="Normal 4 3 3 2 2 2 3 2" xfId="13658" xr:uid="{C5A54B5B-704A-433E-B716-C1AE66AF7938}"/>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216" xr:uid="{6F37CBD5-0DAA-4555-9551-9586FF3FE23F}"/>
    <cellStyle name="Normal 4 3 3 2 2 3 2 3" xfId="12003" xr:uid="{4210E03E-945D-4A48-9D32-5F5541C68F38}"/>
    <cellStyle name="Normal 4 3 3 2 2 3 3" xfId="5576" xr:uid="{00000000-0005-0000-0000-000067140000}"/>
    <cellStyle name="Normal 4 3 3 2 2 3 3 2" xfId="14071" xr:uid="{8B23FC9E-2E6C-44B0-A78E-772A2BFD5018}"/>
    <cellStyle name="Normal 4 3 3 2 2 3 4" xfId="9858" xr:uid="{B90E5900-8B4C-47B3-A545-DB3420D2CAED}"/>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629" xr:uid="{51037289-6175-4020-9FF6-E4CEB40CD8A7}"/>
    <cellStyle name="Normal 4 3 3 2 2 4 2 3" xfId="12416" xr:uid="{014608BA-6984-4EBE-81FB-02BB9660A080}"/>
    <cellStyle name="Normal 4 3 3 2 2 4 3" xfId="5989" xr:uid="{00000000-0005-0000-0000-00006B140000}"/>
    <cellStyle name="Normal 4 3 3 2 2 4 3 2" xfId="14484" xr:uid="{1F726A94-73FA-44F2-A4A6-F2F0E5709E30}"/>
    <cellStyle name="Normal 4 3 3 2 2 4 4" xfId="10271" xr:uid="{64DBEE50-260B-43B0-8AD2-4EDCAF71619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042" xr:uid="{FA0949DA-E59D-4F2C-BBA4-55BC0A88F60A}"/>
    <cellStyle name="Normal 4 3 3 2 2 5 2 3" xfId="12829" xr:uid="{C320CB51-9283-4294-BD2C-8FBC3D05E58E}"/>
    <cellStyle name="Normal 4 3 3 2 2 5 3" xfId="6402" xr:uid="{00000000-0005-0000-0000-00006F140000}"/>
    <cellStyle name="Normal 4 3 3 2 2 5 3 2" xfId="14897" xr:uid="{CF69842F-BEA5-46D6-B3C7-2DD260117614}"/>
    <cellStyle name="Normal 4 3 3 2 2 5 4" xfId="10684" xr:uid="{8E472C0A-A957-409F-944E-355B0A8B0986}"/>
    <cellStyle name="Normal 4 3 3 2 2 6" xfId="2532" xr:uid="{00000000-0005-0000-0000-000070140000}"/>
    <cellStyle name="Normal 4 3 3 2 2 6 2" xfId="6815" xr:uid="{00000000-0005-0000-0000-000071140000}"/>
    <cellStyle name="Normal 4 3 3 2 2 6 2 2" xfId="15310" xr:uid="{0340068E-0A80-486D-90A2-31C1666A4EFF}"/>
    <cellStyle name="Normal 4 3 3 2 2 6 3" xfId="11097" xr:uid="{F28F53B0-CAD5-4272-9742-4CEA6EDAA536}"/>
    <cellStyle name="Normal 4 3 3 2 2 7" xfId="4750" xr:uid="{00000000-0005-0000-0000-000072140000}"/>
    <cellStyle name="Normal 4 3 3 2 2 7 2" xfId="13245" xr:uid="{A9DB429E-E8F6-4DBD-9B15-9EF1C7B4FA45}"/>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802" xr:uid="{7D571DEC-59C7-4459-B932-5D094D48E4F1}"/>
    <cellStyle name="Normal 4 3 3 2 3 2 3" xfId="11589" xr:uid="{41ADC91E-2192-4847-B372-70FF96859498}"/>
    <cellStyle name="Normal 4 3 3 2 3 3" xfId="5162" xr:uid="{00000000-0005-0000-0000-000076140000}"/>
    <cellStyle name="Normal 4 3 3 2 3 3 2" xfId="13657" xr:uid="{271AD417-70AD-48D5-999E-30A6E85320D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215" xr:uid="{86FF62D0-0F4E-414B-A43B-6638ADFC052B}"/>
    <cellStyle name="Normal 4 3 3 2 4 2 3" xfId="12002" xr:uid="{88FBD950-4D24-4A15-8FF1-6240AB07C07A}"/>
    <cellStyle name="Normal 4 3 3 2 4 3" xfId="5575" xr:uid="{00000000-0005-0000-0000-00007A140000}"/>
    <cellStyle name="Normal 4 3 3 2 4 3 2" xfId="14070" xr:uid="{8F20CB54-D837-465E-B7A2-F79283331B32}"/>
    <cellStyle name="Normal 4 3 3 2 4 4" xfId="9857" xr:uid="{FFE4DDC9-38DA-40A6-A52C-D4B305DAADC7}"/>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628" xr:uid="{5BC6100C-E06B-4FF3-B695-411CEA87E2BB}"/>
    <cellStyle name="Normal 4 3 3 2 5 2 3" xfId="12415" xr:uid="{99C001CE-0058-4AF1-81DF-CB17BC970F6B}"/>
    <cellStyle name="Normal 4 3 3 2 5 3" xfId="5988" xr:uid="{00000000-0005-0000-0000-00007E140000}"/>
    <cellStyle name="Normal 4 3 3 2 5 3 2" xfId="14483" xr:uid="{DB34ECEA-8C8F-4F42-BADD-5D34280A1A77}"/>
    <cellStyle name="Normal 4 3 3 2 5 4" xfId="10270" xr:uid="{0B0F3371-1080-4C0F-8471-692714E14D99}"/>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041" xr:uid="{18DA120E-9371-4069-B0AD-F23A5F44B649}"/>
    <cellStyle name="Normal 4 3 3 2 6 2 3" xfId="12828" xr:uid="{74473968-EB69-49F7-8806-E2E7131DF102}"/>
    <cellStyle name="Normal 4 3 3 2 6 3" xfId="6401" xr:uid="{00000000-0005-0000-0000-000082140000}"/>
    <cellStyle name="Normal 4 3 3 2 6 3 2" xfId="14896" xr:uid="{2CCF2A37-1CFE-4AF1-AEE3-3C685FADC143}"/>
    <cellStyle name="Normal 4 3 3 2 6 4" xfId="10683" xr:uid="{64DD99CA-A4CA-43ED-8B8F-75458BC1994E}"/>
    <cellStyle name="Normal 4 3 3 2 7" xfId="2531" xr:uid="{00000000-0005-0000-0000-000083140000}"/>
    <cellStyle name="Normal 4 3 3 2 7 2" xfId="6814" xr:uid="{00000000-0005-0000-0000-000084140000}"/>
    <cellStyle name="Normal 4 3 3 2 7 2 2" xfId="15309" xr:uid="{B0FD0934-AAAB-4ADC-90A0-7048BCB1DD1E}"/>
    <cellStyle name="Normal 4 3 3 2 7 3" xfId="11096" xr:uid="{BA454AFC-878E-4D4D-9316-6EB7FA7FA9EC}"/>
    <cellStyle name="Normal 4 3 3 2 8" xfId="4749" xr:uid="{00000000-0005-0000-0000-000085140000}"/>
    <cellStyle name="Normal 4 3 3 2 8 2" xfId="13244" xr:uid="{07D8F03D-EDB7-4170-AADE-35D2C1E1F487}"/>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804" xr:uid="{3D764A89-D3FF-4A98-B4D7-AC3E926B1D81}"/>
    <cellStyle name="Normal 4 3 3 3 2 2 3" xfId="11591" xr:uid="{B9545E02-4559-4A9F-B691-6B43F28E9834}"/>
    <cellStyle name="Normal 4 3 3 3 2 3" xfId="5164" xr:uid="{00000000-0005-0000-0000-00008A140000}"/>
    <cellStyle name="Normal 4 3 3 3 2 3 2" xfId="13659" xr:uid="{83DF6598-6472-49E3-8D94-297C781DA18A}"/>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217" xr:uid="{099E2EA8-A95D-401B-833E-E87D8520A110}"/>
    <cellStyle name="Normal 4 3 3 3 3 2 3" xfId="12004" xr:uid="{EC12FDB3-A437-41C3-8903-67DB627AA92C}"/>
    <cellStyle name="Normal 4 3 3 3 3 3" xfId="5577" xr:uid="{00000000-0005-0000-0000-00008E140000}"/>
    <cellStyle name="Normal 4 3 3 3 3 3 2" xfId="14072" xr:uid="{B2CE7F31-87D0-4642-9685-3191ABB50729}"/>
    <cellStyle name="Normal 4 3 3 3 3 4" xfId="9859" xr:uid="{5E873B52-A72B-48B9-82A2-6F1CA4D597D1}"/>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630" xr:uid="{0BCFF7EB-FA69-4F1D-B8A1-4982E9C76A4C}"/>
    <cellStyle name="Normal 4 3 3 3 4 2 3" xfId="12417" xr:uid="{1D3E1449-21E2-49F3-AFF5-9C9DB97825A0}"/>
    <cellStyle name="Normal 4 3 3 3 4 3" xfId="5990" xr:uid="{00000000-0005-0000-0000-000092140000}"/>
    <cellStyle name="Normal 4 3 3 3 4 3 2" xfId="14485" xr:uid="{9BBC044A-A3DE-4B6B-8E51-F91122878C3C}"/>
    <cellStyle name="Normal 4 3 3 3 4 4" xfId="10272" xr:uid="{2B13036A-C35D-49E4-818F-52306A5DA5E4}"/>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043" xr:uid="{814FB5DD-C93B-49AB-B9D9-2CC3C0D813BC}"/>
    <cellStyle name="Normal 4 3 3 3 5 2 3" xfId="12830" xr:uid="{08DE309F-6F1F-41A0-BBC1-6C8A8BEA344D}"/>
    <cellStyle name="Normal 4 3 3 3 5 3" xfId="6403" xr:uid="{00000000-0005-0000-0000-000096140000}"/>
    <cellStyle name="Normal 4 3 3 3 5 3 2" xfId="14898" xr:uid="{0F34509A-0D0D-4416-B83F-4C7CF6DC6D06}"/>
    <cellStyle name="Normal 4 3 3 3 5 4" xfId="10685" xr:uid="{D384AA3C-DBE9-4B4E-B9A2-DA29147CB985}"/>
    <cellStyle name="Normal 4 3 3 3 6" xfId="2533" xr:uid="{00000000-0005-0000-0000-000097140000}"/>
    <cellStyle name="Normal 4 3 3 3 6 2" xfId="6816" xr:uid="{00000000-0005-0000-0000-000098140000}"/>
    <cellStyle name="Normal 4 3 3 3 6 2 2" xfId="15311" xr:uid="{A8D8AC7C-2C2E-4A19-9576-65A5E8F3DE14}"/>
    <cellStyle name="Normal 4 3 3 3 6 3" xfId="11098" xr:uid="{8E713A49-5FAF-4EB3-A7DD-B58A5E997B0C}"/>
    <cellStyle name="Normal 4 3 3 3 7" xfId="4751" xr:uid="{00000000-0005-0000-0000-000099140000}"/>
    <cellStyle name="Normal 4 3 3 3 7 2" xfId="13246" xr:uid="{692224E2-1BFB-4796-B3BD-8C1ACCB243CB}"/>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2 2 2" xfId="15801" xr:uid="{BA5E2CFC-2D13-4B9B-85E7-744EBFD57420}"/>
    <cellStyle name="Normal 4 3 3 4 2 3" xfId="11588" xr:uid="{78A1BA31-719B-47E2-9BA8-48AAE187FF8D}"/>
    <cellStyle name="Normal 4 3 3 4 3" xfId="5161" xr:uid="{00000000-0005-0000-0000-00009D140000}"/>
    <cellStyle name="Normal 4 3 3 4 3 2" xfId="13656" xr:uid="{E7B72457-B559-4B92-A016-63D248E04A28}"/>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2 2 2" xfId="16214" xr:uid="{A7358492-D7E1-4B9E-B2F0-17C17970E682}"/>
    <cellStyle name="Normal 4 3 3 5 2 3" xfId="12001" xr:uid="{189C9E52-171B-4390-80F2-7A103AA07E9E}"/>
    <cellStyle name="Normal 4 3 3 5 3" xfId="5574" xr:uid="{00000000-0005-0000-0000-0000A1140000}"/>
    <cellStyle name="Normal 4 3 3 5 3 2" xfId="14069" xr:uid="{22EF726B-EBE8-4B30-A2A0-A0FBE116ABF6}"/>
    <cellStyle name="Normal 4 3 3 5 4" xfId="9856" xr:uid="{4C459B2C-C303-4D45-846B-12EA676554F3}"/>
    <cellStyle name="Normal 4 3 3 6" xfId="1680" xr:uid="{00000000-0005-0000-0000-0000A2140000}"/>
    <cellStyle name="Normal 4 3 3 6 2" xfId="3910" xr:uid="{00000000-0005-0000-0000-0000A3140000}"/>
    <cellStyle name="Normal 4 3 3 6 2 2" xfId="8132" xr:uid="{00000000-0005-0000-0000-0000A4140000}"/>
    <cellStyle name="Normal 4 3 3 6 2 2 2" xfId="16627" xr:uid="{650ED6BF-727B-4C04-B651-9262DEB8ED5A}"/>
    <cellStyle name="Normal 4 3 3 6 2 3" xfId="12414" xr:uid="{87D31E15-BD9F-4498-BC61-0658E2F5A01A}"/>
    <cellStyle name="Normal 4 3 3 6 3" xfId="5987" xr:uid="{00000000-0005-0000-0000-0000A5140000}"/>
    <cellStyle name="Normal 4 3 3 6 3 2" xfId="14482" xr:uid="{823910B8-55A8-4A0F-8717-68ABB348705C}"/>
    <cellStyle name="Normal 4 3 3 6 4" xfId="10269" xr:uid="{11C66961-3F17-4520-9F80-915E59BCF338}"/>
    <cellStyle name="Normal 4 3 3 7" xfId="2094" xr:uid="{00000000-0005-0000-0000-0000A6140000}"/>
    <cellStyle name="Normal 4 3 3 7 2" xfId="4323" xr:uid="{00000000-0005-0000-0000-0000A7140000}"/>
    <cellStyle name="Normal 4 3 3 7 2 2" xfId="8545" xr:uid="{00000000-0005-0000-0000-0000A8140000}"/>
    <cellStyle name="Normal 4 3 3 7 2 2 2" xfId="17040" xr:uid="{D694D698-3ABC-4AAE-B328-E0523DF2DE64}"/>
    <cellStyle name="Normal 4 3 3 7 2 3" xfId="12827" xr:uid="{F85CB79B-FC70-4328-A696-5C243EE0B4AD}"/>
    <cellStyle name="Normal 4 3 3 7 3" xfId="6400" xr:uid="{00000000-0005-0000-0000-0000A9140000}"/>
    <cellStyle name="Normal 4 3 3 7 3 2" xfId="14895" xr:uid="{D551BF26-3A0B-4B00-85F9-A5FF203B8B8A}"/>
    <cellStyle name="Normal 4 3 3 7 4" xfId="10682" xr:uid="{49C1B782-8AFE-4539-9EFA-75CD756F73C1}"/>
    <cellStyle name="Normal 4 3 3 8" xfId="2530" xr:uid="{00000000-0005-0000-0000-0000AA140000}"/>
    <cellStyle name="Normal 4 3 3 8 2" xfId="6813" xr:uid="{00000000-0005-0000-0000-0000AB140000}"/>
    <cellStyle name="Normal 4 3 3 8 2 2" xfId="15308" xr:uid="{94B3B514-E874-4469-8A42-C44F15E64269}"/>
    <cellStyle name="Normal 4 3 3 8 3" xfId="11095" xr:uid="{E80F8139-A858-4C51-B878-540BB098542E}"/>
    <cellStyle name="Normal 4 3 3 9" xfId="4748" xr:uid="{00000000-0005-0000-0000-0000AC140000}"/>
    <cellStyle name="Normal 4 3 3 9 2" xfId="13243" xr:uid="{C1C60035-407C-4EB6-89E3-F84C1E89A93F}"/>
    <cellStyle name="Normal 4 3 4" xfId="842" xr:uid="{00000000-0005-0000-0000-0000AD140000}"/>
    <cellStyle name="Normal 4 3 4 2" xfId="3079" xr:uid="{00000000-0005-0000-0000-0000AE140000}"/>
    <cellStyle name="Normal 4 3 4 2 2" xfId="7301" xr:uid="{00000000-0005-0000-0000-0000AF140000}"/>
    <cellStyle name="Normal 4 3 4 2 2 2" xfId="15796" xr:uid="{8AA0F9BB-A484-4BBD-A0FE-BEF78F7EDBBA}"/>
    <cellStyle name="Normal 4 3 4 2 3" xfId="11583" xr:uid="{87C2C1AA-039C-46E9-AE1C-CC6C00BD5D29}"/>
    <cellStyle name="Normal 4 3 4 3" xfId="5156" xr:uid="{00000000-0005-0000-0000-0000B0140000}"/>
    <cellStyle name="Normal 4 3 4 3 2" xfId="13651" xr:uid="{002F2A28-5288-4EF7-B7BF-0E90D6340677}"/>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2 2 2" xfId="16209" xr:uid="{B74827D2-7237-484D-A6CB-B8D4F222F424}"/>
    <cellStyle name="Normal 4 3 5 2 3" xfId="11996" xr:uid="{82D97D8C-6EA8-4CD9-A2BB-DDA74A719063}"/>
    <cellStyle name="Normal 4 3 5 3" xfId="5569" xr:uid="{00000000-0005-0000-0000-0000B4140000}"/>
    <cellStyle name="Normal 4 3 5 3 2" xfId="14064" xr:uid="{8DC9BE49-94E3-4EC1-9AF3-B6CFB84E564A}"/>
    <cellStyle name="Normal 4 3 5 4" xfId="9851" xr:uid="{3F15CEE3-5F66-4B57-AB24-6C860EFF978D}"/>
    <cellStyle name="Normal 4 3 6" xfId="1675" xr:uid="{00000000-0005-0000-0000-0000B5140000}"/>
    <cellStyle name="Normal 4 3 6 2" xfId="3905" xr:uid="{00000000-0005-0000-0000-0000B6140000}"/>
    <cellStyle name="Normal 4 3 6 2 2" xfId="8127" xr:uid="{00000000-0005-0000-0000-0000B7140000}"/>
    <cellStyle name="Normal 4 3 6 2 2 2" xfId="16622" xr:uid="{04119C43-9340-46F1-A0D9-0F217144FC11}"/>
    <cellStyle name="Normal 4 3 6 2 3" xfId="12409" xr:uid="{990D079F-4627-44C8-82C0-4A7AEB94130C}"/>
    <cellStyle name="Normal 4 3 6 3" xfId="5982" xr:uid="{00000000-0005-0000-0000-0000B8140000}"/>
    <cellStyle name="Normal 4 3 6 3 2" xfId="14477" xr:uid="{951A5345-5EFE-48E1-A008-490AD3AB4767}"/>
    <cellStyle name="Normal 4 3 6 4" xfId="10264" xr:uid="{0CED0D20-1CA9-4BE4-BDC5-728AA5EEBC11}"/>
    <cellStyle name="Normal 4 3 7" xfId="2089" xr:uid="{00000000-0005-0000-0000-0000B9140000}"/>
    <cellStyle name="Normal 4 3 7 2" xfId="4318" xr:uid="{00000000-0005-0000-0000-0000BA140000}"/>
    <cellStyle name="Normal 4 3 7 2 2" xfId="8540" xr:uid="{00000000-0005-0000-0000-0000BB140000}"/>
    <cellStyle name="Normal 4 3 7 2 2 2" xfId="17035" xr:uid="{0DD53ACB-310D-47CB-9B07-514A72689F7F}"/>
    <cellStyle name="Normal 4 3 7 2 3" xfId="12822" xr:uid="{E5933DE1-885B-4F07-BCFD-B3A5DB260D2D}"/>
    <cellStyle name="Normal 4 3 7 3" xfId="6395" xr:uid="{00000000-0005-0000-0000-0000BC140000}"/>
    <cellStyle name="Normal 4 3 7 3 2" xfId="14890" xr:uid="{4A78CE1D-6DBA-4680-842E-9A4E24B9DCF1}"/>
    <cellStyle name="Normal 4 3 7 4" xfId="10677" xr:uid="{C3CAA398-4ABC-4C4A-8815-61335840117E}"/>
    <cellStyle name="Normal 4 3 8" xfId="2525" xr:uid="{00000000-0005-0000-0000-0000BD140000}"/>
    <cellStyle name="Normal 4 3 8 2" xfId="6808" xr:uid="{00000000-0005-0000-0000-0000BE140000}"/>
    <cellStyle name="Normal 4 3 8 2 2" xfId="15303" xr:uid="{91A4807F-B74D-4136-B4EC-EF7D9A18717C}"/>
    <cellStyle name="Normal 4 3 8 3" xfId="11090" xr:uid="{6231A3EA-801B-474E-9EA2-17746EEBF633}"/>
    <cellStyle name="Normal 4 3 9" xfId="4743" xr:uid="{00000000-0005-0000-0000-0000BF140000}"/>
    <cellStyle name="Normal 4 3 9 2" xfId="13238" xr:uid="{37CB7B00-32BD-4760-A59D-B8094A237352}"/>
    <cellStyle name="Normal 4 4" xfId="378" xr:uid="{00000000-0005-0000-0000-0000C0140000}"/>
    <cellStyle name="Normal 4 4 10" xfId="2534" xr:uid="{00000000-0005-0000-0000-0000C1140000}"/>
    <cellStyle name="Normal 4 4 10 2" xfId="6817" xr:uid="{00000000-0005-0000-0000-0000C2140000}"/>
    <cellStyle name="Normal 4 4 10 2 2" xfId="15312" xr:uid="{77CA608E-A2B0-4960-8F2A-84FDC2E03400}"/>
    <cellStyle name="Normal 4 4 10 3" xfId="11099" xr:uid="{04189E25-C5D6-4BC1-B1FE-298841CD0F6B}"/>
    <cellStyle name="Normal 4 4 11" xfId="4752" xr:uid="{00000000-0005-0000-0000-0000C3140000}"/>
    <cellStyle name="Normal 4 4 11 2" xfId="13247" xr:uid="{8E228978-2485-43A2-923D-F25CCA4FD3E8}"/>
    <cellStyle name="Normal 4 4 12" xfId="8749" xr:uid="{A91736B6-873D-4B1A-8B29-18DC69E5E65F}"/>
    <cellStyle name="Normal 4 4 2" xfId="379" xr:uid="{00000000-0005-0000-0000-0000C4140000}"/>
    <cellStyle name="Normal 4 4 2 10" xfId="4753" xr:uid="{00000000-0005-0000-0000-0000C5140000}"/>
    <cellStyle name="Normal 4 4 2 10 2" xfId="13248" xr:uid="{133F1AD1-0982-4CCC-B7BD-1EB9466CF7E6}"/>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809" xr:uid="{7F6D7932-74F9-4818-AFA7-91A0916D11CA}"/>
    <cellStyle name="Normal 4 4 2 2 2 2 2 2 3" xfId="11596" xr:uid="{4B6897B7-CD44-4D46-AA5F-AE1E3C672D07}"/>
    <cellStyle name="Normal 4 4 2 2 2 2 2 3" xfId="5169" xr:uid="{00000000-0005-0000-0000-0000CC140000}"/>
    <cellStyle name="Normal 4 4 2 2 2 2 2 3 2" xfId="13664" xr:uid="{5AB4CAA8-99AC-48BE-83E4-E29781F3AFCB}"/>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222" xr:uid="{11D85C27-6F8D-403E-B975-F30E71D3107E}"/>
    <cellStyle name="Normal 4 4 2 2 2 2 3 2 3" xfId="12009" xr:uid="{9BBF2772-F3CF-4D06-A7FB-4DAF09384689}"/>
    <cellStyle name="Normal 4 4 2 2 2 2 3 3" xfId="5582" xr:uid="{00000000-0005-0000-0000-0000D0140000}"/>
    <cellStyle name="Normal 4 4 2 2 2 2 3 3 2" xfId="14077" xr:uid="{50B41543-984B-4DB4-ABFE-2D8542AE7147}"/>
    <cellStyle name="Normal 4 4 2 2 2 2 3 4" xfId="9864" xr:uid="{BC253299-09D8-4D4C-8EF1-DA1C0CACECF8}"/>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635" xr:uid="{A9D63324-E6CC-40FC-B6E2-AC685901D510}"/>
    <cellStyle name="Normal 4 4 2 2 2 2 4 2 3" xfId="12422" xr:uid="{02B2DEDD-EDD8-4D9F-80D6-9EFDC42B27F8}"/>
    <cellStyle name="Normal 4 4 2 2 2 2 4 3" xfId="5995" xr:uid="{00000000-0005-0000-0000-0000D4140000}"/>
    <cellStyle name="Normal 4 4 2 2 2 2 4 3 2" xfId="14490" xr:uid="{DC7BE62A-F151-4830-80E5-32FAD9C8A169}"/>
    <cellStyle name="Normal 4 4 2 2 2 2 4 4" xfId="10277" xr:uid="{DAE73A5D-AF3D-4E38-8BD4-1B5806A8CFC8}"/>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48" xr:uid="{1FA59BC5-330A-4ABF-84DD-0E04DF20283C}"/>
    <cellStyle name="Normal 4 4 2 2 2 2 5 2 3" xfId="12835" xr:uid="{A9F5E443-B4C7-4A92-AA34-5F16E409995A}"/>
    <cellStyle name="Normal 4 4 2 2 2 2 5 3" xfId="6408" xr:uid="{00000000-0005-0000-0000-0000D8140000}"/>
    <cellStyle name="Normal 4 4 2 2 2 2 5 3 2" xfId="14903" xr:uid="{F0A3D145-E646-46EE-9479-EB6366DBEDD4}"/>
    <cellStyle name="Normal 4 4 2 2 2 2 5 4" xfId="10690" xr:uid="{E8E1DA3F-D58E-43ED-877B-ED4D2D02F616}"/>
    <cellStyle name="Normal 4 4 2 2 2 2 6" xfId="2538" xr:uid="{00000000-0005-0000-0000-0000D9140000}"/>
    <cellStyle name="Normal 4 4 2 2 2 2 6 2" xfId="6821" xr:uid="{00000000-0005-0000-0000-0000DA140000}"/>
    <cellStyle name="Normal 4 4 2 2 2 2 6 2 2" xfId="15316" xr:uid="{217BE635-CE35-45FD-9B89-86EA6122E3E3}"/>
    <cellStyle name="Normal 4 4 2 2 2 2 6 3" xfId="11103" xr:uid="{5E0256D9-A791-4240-95E7-4FF75DD44E4B}"/>
    <cellStyle name="Normal 4 4 2 2 2 2 7" xfId="4756" xr:uid="{00000000-0005-0000-0000-0000DB140000}"/>
    <cellStyle name="Normal 4 4 2 2 2 2 7 2" xfId="13251" xr:uid="{579B3987-C777-40DE-9A03-EBE3A026DAEB}"/>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808" xr:uid="{087D7BF8-3816-4740-AC33-1FA7939800A8}"/>
    <cellStyle name="Normal 4 4 2 2 2 3 2 3" xfId="11595" xr:uid="{A8265563-7C10-4794-9500-7A75C18E5AEB}"/>
    <cellStyle name="Normal 4 4 2 2 2 3 3" xfId="5168" xr:uid="{00000000-0005-0000-0000-0000DF140000}"/>
    <cellStyle name="Normal 4 4 2 2 2 3 3 2" xfId="13663" xr:uid="{55AA867C-8F33-4B73-8596-050A9F22F63F}"/>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221" xr:uid="{B4D97AF2-247F-4DA1-9758-1332A31B1A2D}"/>
    <cellStyle name="Normal 4 4 2 2 2 4 2 3" xfId="12008" xr:uid="{3D745F31-4633-46AF-A325-89DE937D5E17}"/>
    <cellStyle name="Normal 4 4 2 2 2 4 3" xfId="5581" xr:uid="{00000000-0005-0000-0000-0000E3140000}"/>
    <cellStyle name="Normal 4 4 2 2 2 4 3 2" xfId="14076" xr:uid="{2682790B-7D81-449E-A382-E0E48E024C49}"/>
    <cellStyle name="Normal 4 4 2 2 2 4 4" xfId="9863" xr:uid="{7EB8EC7E-ED1E-4A7E-B310-CAD00B56B1B2}"/>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634" xr:uid="{81B203AE-000F-4C57-A64C-8BB7E3C72CEF}"/>
    <cellStyle name="Normal 4 4 2 2 2 5 2 3" xfId="12421" xr:uid="{44B5D87D-EC57-4800-A1C5-081FBF547DE5}"/>
    <cellStyle name="Normal 4 4 2 2 2 5 3" xfId="5994" xr:uid="{00000000-0005-0000-0000-0000E7140000}"/>
    <cellStyle name="Normal 4 4 2 2 2 5 3 2" xfId="14489" xr:uid="{10111699-E7A2-4A17-8630-5FDABB4385FA}"/>
    <cellStyle name="Normal 4 4 2 2 2 5 4" xfId="10276" xr:uid="{DDCC254E-444A-4D10-8A93-7E6A3F6226C8}"/>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47" xr:uid="{C3ADC635-060C-4D58-B655-546B9CA08020}"/>
    <cellStyle name="Normal 4 4 2 2 2 6 2 3" xfId="12834" xr:uid="{78585FE1-2CB7-4284-AC49-F37EC02AF034}"/>
    <cellStyle name="Normal 4 4 2 2 2 6 3" xfId="6407" xr:uid="{00000000-0005-0000-0000-0000EB140000}"/>
    <cellStyle name="Normal 4 4 2 2 2 6 3 2" xfId="14902" xr:uid="{E2A37F9D-07D5-40DA-B891-8C1565DF92AA}"/>
    <cellStyle name="Normal 4 4 2 2 2 6 4" xfId="10689" xr:uid="{91A3FD7E-64D0-4654-AAB2-2DC1D54B251E}"/>
    <cellStyle name="Normal 4 4 2 2 2 7" xfId="2537" xr:uid="{00000000-0005-0000-0000-0000EC140000}"/>
    <cellStyle name="Normal 4 4 2 2 2 7 2" xfId="6820" xr:uid="{00000000-0005-0000-0000-0000ED140000}"/>
    <cellStyle name="Normal 4 4 2 2 2 7 2 2" xfId="15315" xr:uid="{EA9C785D-7AB4-49A9-8C09-67FB3A6E5611}"/>
    <cellStyle name="Normal 4 4 2 2 2 7 3" xfId="11102" xr:uid="{752AA670-BA90-4A81-8DD6-F505377A9CB5}"/>
    <cellStyle name="Normal 4 4 2 2 2 8" xfId="4755" xr:uid="{00000000-0005-0000-0000-0000EE140000}"/>
    <cellStyle name="Normal 4 4 2 2 2 8 2" xfId="13250" xr:uid="{EBBA04BA-8CE9-4320-8515-764FF3CB2E9E}"/>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810" xr:uid="{FACE4C71-73DF-4F66-8A14-13384632BE81}"/>
    <cellStyle name="Normal 4 4 2 2 3 2 2 3" xfId="11597" xr:uid="{076E7739-7810-445C-94DF-C54D230BA976}"/>
    <cellStyle name="Normal 4 4 2 2 3 2 3" xfId="5170" xr:uid="{00000000-0005-0000-0000-0000F3140000}"/>
    <cellStyle name="Normal 4 4 2 2 3 2 3 2" xfId="13665" xr:uid="{088FA886-9C15-417B-BEB8-C35F5AADC58B}"/>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223" xr:uid="{5B67FFB0-150D-4074-8E14-6B00579A689C}"/>
    <cellStyle name="Normal 4 4 2 2 3 3 2 3" xfId="12010" xr:uid="{4C79C926-3CC0-4F44-A68E-52D7358D8225}"/>
    <cellStyle name="Normal 4 4 2 2 3 3 3" xfId="5583" xr:uid="{00000000-0005-0000-0000-0000F7140000}"/>
    <cellStyle name="Normal 4 4 2 2 3 3 3 2" xfId="14078" xr:uid="{574601E7-2117-4BF0-B5A7-1965F09D5FB9}"/>
    <cellStyle name="Normal 4 4 2 2 3 3 4" xfId="9865" xr:uid="{2CEB8FA2-5A5B-4F9C-ACE3-B45C88072A49}"/>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636" xr:uid="{5085EB9B-4BF6-481D-96FF-12AB356FDDCE}"/>
    <cellStyle name="Normal 4 4 2 2 3 4 2 3" xfId="12423" xr:uid="{3C65E677-4A7A-4EB7-9EDA-5EB35DE2DAD7}"/>
    <cellStyle name="Normal 4 4 2 2 3 4 3" xfId="5996" xr:uid="{00000000-0005-0000-0000-0000FB140000}"/>
    <cellStyle name="Normal 4 4 2 2 3 4 3 2" xfId="14491" xr:uid="{68071CB3-F47D-48A9-96B9-9B7F306782F0}"/>
    <cellStyle name="Normal 4 4 2 2 3 4 4" xfId="10278" xr:uid="{EDD8519C-2CCD-4F70-BEA4-D7A98CACC3EB}"/>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49" xr:uid="{7CD50035-7C2E-4AC5-91A6-596198A8779B}"/>
    <cellStyle name="Normal 4 4 2 2 3 5 2 3" xfId="12836" xr:uid="{E1BEF933-1627-4971-82EC-CBF89F73609A}"/>
    <cellStyle name="Normal 4 4 2 2 3 5 3" xfId="6409" xr:uid="{00000000-0005-0000-0000-0000FF140000}"/>
    <cellStyle name="Normal 4 4 2 2 3 5 3 2" xfId="14904" xr:uid="{BF7E045F-EF96-400D-A221-9F895A01301D}"/>
    <cellStyle name="Normal 4 4 2 2 3 5 4" xfId="10691" xr:uid="{668242E5-C7C7-4A97-8202-F8A82447E0E3}"/>
    <cellStyle name="Normal 4 4 2 2 3 6" xfId="2539" xr:uid="{00000000-0005-0000-0000-000000150000}"/>
    <cellStyle name="Normal 4 4 2 2 3 6 2" xfId="6822" xr:uid="{00000000-0005-0000-0000-000001150000}"/>
    <cellStyle name="Normal 4 4 2 2 3 6 2 2" xfId="15317" xr:uid="{DFFE2D2B-6FCA-4AB8-8A59-45732E4A4BB0}"/>
    <cellStyle name="Normal 4 4 2 2 3 6 3" xfId="11104" xr:uid="{ED27CBA7-A530-4D4C-B639-3446081BBB30}"/>
    <cellStyle name="Normal 4 4 2 2 3 7" xfId="4757" xr:uid="{00000000-0005-0000-0000-000002150000}"/>
    <cellStyle name="Normal 4 4 2 2 3 7 2" xfId="13252" xr:uid="{CB3B109B-F67D-4E18-94B7-EC146EC4B122}"/>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807" xr:uid="{6B9F46CA-CAF2-4C92-BF53-A1E6BEB1FDB7}"/>
    <cellStyle name="Normal 4 4 2 2 4 2 3" xfId="11594" xr:uid="{EA747885-A662-4EFC-8B9A-E78E61992638}"/>
    <cellStyle name="Normal 4 4 2 2 4 3" xfId="5167" xr:uid="{00000000-0005-0000-0000-000006150000}"/>
    <cellStyle name="Normal 4 4 2 2 4 3 2" xfId="13662" xr:uid="{8E226E41-5F7B-4DAB-B1BD-B0C9A3A387FC}"/>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220" xr:uid="{7D319194-BF21-4855-A789-96926664BB55}"/>
    <cellStyle name="Normal 4 4 2 2 5 2 3" xfId="12007" xr:uid="{C7E7F0F6-4C55-4AEA-B4A5-BDBE2AD36C07}"/>
    <cellStyle name="Normal 4 4 2 2 5 3" xfId="5580" xr:uid="{00000000-0005-0000-0000-00000A150000}"/>
    <cellStyle name="Normal 4 4 2 2 5 3 2" xfId="14075" xr:uid="{59479AFA-ADDC-4604-AEE4-20634FEB01D3}"/>
    <cellStyle name="Normal 4 4 2 2 5 4" xfId="9862" xr:uid="{E201A5A7-2F9C-41FA-B7FF-091B7D1CC173}"/>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633" xr:uid="{A18E1FC0-6C1E-4BE5-AD4F-03E9BA3BD881}"/>
    <cellStyle name="Normal 4 4 2 2 6 2 3" xfId="12420" xr:uid="{D3E6D222-5241-43BE-9FC9-3DDD673C08F6}"/>
    <cellStyle name="Normal 4 4 2 2 6 3" xfId="5993" xr:uid="{00000000-0005-0000-0000-00000E150000}"/>
    <cellStyle name="Normal 4 4 2 2 6 3 2" xfId="14488" xr:uid="{54CFA811-F3BF-4F44-AA0E-548705FD074E}"/>
    <cellStyle name="Normal 4 4 2 2 6 4" xfId="10275" xr:uid="{FF78E522-D233-46AF-9139-1B21F3EE27C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46" xr:uid="{714E10F9-004F-4A1C-90F5-BE799E89E265}"/>
    <cellStyle name="Normal 4 4 2 2 7 2 3" xfId="12833" xr:uid="{AD5FD128-3D63-4CC9-9D6F-E651935E030D}"/>
    <cellStyle name="Normal 4 4 2 2 7 3" xfId="6406" xr:uid="{00000000-0005-0000-0000-000012150000}"/>
    <cellStyle name="Normal 4 4 2 2 7 3 2" xfId="14901" xr:uid="{013AB6D0-E2AB-40BB-8CCB-D8A17B9F3DD4}"/>
    <cellStyle name="Normal 4 4 2 2 7 4" xfId="10688" xr:uid="{6AD42EA6-C04A-46C9-881D-2A117B9FA95D}"/>
    <cellStyle name="Normal 4 4 2 2 8" xfId="2536" xr:uid="{00000000-0005-0000-0000-000013150000}"/>
    <cellStyle name="Normal 4 4 2 2 8 2" xfId="6819" xr:uid="{00000000-0005-0000-0000-000014150000}"/>
    <cellStyle name="Normal 4 4 2 2 8 2 2" xfId="15314" xr:uid="{74F7CBFA-6085-45D1-8906-FD50415B4C1D}"/>
    <cellStyle name="Normal 4 4 2 2 8 3" xfId="11101" xr:uid="{EED1F317-0311-405C-9457-D422674D255A}"/>
    <cellStyle name="Normal 4 4 2 2 9" xfId="4754" xr:uid="{00000000-0005-0000-0000-000015150000}"/>
    <cellStyle name="Normal 4 4 2 2 9 2" xfId="13249" xr:uid="{F11220C7-E5BF-45CE-A4B7-B7AD0C1907B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812" xr:uid="{C14365DA-9A70-4219-BBB3-F7C9B63ECE7B}"/>
    <cellStyle name="Normal 4 4 2 3 2 2 2 3" xfId="11599" xr:uid="{1DA1E873-D517-4F98-835A-9B5F559EEC2F}"/>
    <cellStyle name="Normal 4 4 2 3 2 2 3" xfId="5172" xr:uid="{00000000-0005-0000-0000-00001B150000}"/>
    <cellStyle name="Normal 4 4 2 3 2 2 3 2" xfId="13667" xr:uid="{496C5326-BD5D-411D-9892-FEBBC9BB480E}"/>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225" xr:uid="{93C2782F-3C37-42DF-80A9-9C985801E0F8}"/>
    <cellStyle name="Normal 4 4 2 3 2 3 2 3" xfId="12012" xr:uid="{3008E75D-3332-4762-99F7-04348A17D769}"/>
    <cellStyle name="Normal 4 4 2 3 2 3 3" xfId="5585" xr:uid="{00000000-0005-0000-0000-00001F150000}"/>
    <cellStyle name="Normal 4 4 2 3 2 3 3 2" xfId="14080" xr:uid="{D17AC7F3-2250-4361-A7C0-1CDEC272E9F2}"/>
    <cellStyle name="Normal 4 4 2 3 2 3 4" xfId="9867" xr:uid="{3484F5F0-005C-424D-A934-E195E951373F}"/>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638" xr:uid="{DA2CD220-2C91-4A27-8338-AC0CA203089C}"/>
    <cellStyle name="Normal 4 4 2 3 2 4 2 3" xfId="12425" xr:uid="{B74E642D-7C2E-4CFB-A6E8-05BBD386897B}"/>
    <cellStyle name="Normal 4 4 2 3 2 4 3" xfId="5998" xr:uid="{00000000-0005-0000-0000-000023150000}"/>
    <cellStyle name="Normal 4 4 2 3 2 4 3 2" xfId="14493" xr:uid="{4EEEB2DE-A192-4C08-8762-6DE721B55F21}"/>
    <cellStyle name="Normal 4 4 2 3 2 4 4" xfId="10280" xr:uid="{6CDFCF05-6FD8-419A-9FE7-04DC6FCCAEC4}"/>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51" xr:uid="{BEB4E963-0566-43A8-B19E-0A8DBD49AD62}"/>
    <cellStyle name="Normal 4 4 2 3 2 5 2 3" xfId="12838" xr:uid="{1A6EEAE3-6F66-46FE-A5F2-2F325FE4B837}"/>
    <cellStyle name="Normal 4 4 2 3 2 5 3" xfId="6411" xr:uid="{00000000-0005-0000-0000-000027150000}"/>
    <cellStyle name="Normal 4 4 2 3 2 5 3 2" xfId="14906" xr:uid="{AB6718AF-A234-4B7E-96A3-1B573E3D749D}"/>
    <cellStyle name="Normal 4 4 2 3 2 5 4" xfId="10693" xr:uid="{49ECAA53-4122-4AED-8908-E8C129FB350F}"/>
    <cellStyle name="Normal 4 4 2 3 2 6" xfId="2541" xr:uid="{00000000-0005-0000-0000-000028150000}"/>
    <cellStyle name="Normal 4 4 2 3 2 6 2" xfId="6824" xr:uid="{00000000-0005-0000-0000-000029150000}"/>
    <cellStyle name="Normal 4 4 2 3 2 6 2 2" xfId="15319" xr:uid="{258D1648-06C5-4784-9012-EB5C248162A2}"/>
    <cellStyle name="Normal 4 4 2 3 2 6 3" xfId="11106" xr:uid="{A4D5B491-BE25-499D-A02E-16614C1382A4}"/>
    <cellStyle name="Normal 4 4 2 3 2 7" xfId="4759" xr:uid="{00000000-0005-0000-0000-00002A150000}"/>
    <cellStyle name="Normal 4 4 2 3 2 7 2" xfId="13254" xr:uid="{47181288-B9D6-4885-BAF7-2960EE68A9EA}"/>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811" xr:uid="{0BB320D3-FCD3-4F03-9533-55E6420ADB36}"/>
    <cellStyle name="Normal 4 4 2 3 3 2 3" xfId="11598" xr:uid="{CBD02D06-BD96-4EE6-9696-1B35DD87768F}"/>
    <cellStyle name="Normal 4 4 2 3 3 3" xfId="5171" xr:uid="{00000000-0005-0000-0000-00002E150000}"/>
    <cellStyle name="Normal 4 4 2 3 3 3 2" xfId="13666" xr:uid="{69200439-B799-445A-A6E2-2801C33B8A8B}"/>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224" xr:uid="{26307E75-7438-42F1-81E9-29794CD178AB}"/>
    <cellStyle name="Normal 4 4 2 3 4 2 3" xfId="12011" xr:uid="{7643EFDA-9A6E-4373-8CE5-22F6D2ECD577}"/>
    <cellStyle name="Normal 4 4 2 3 4 3" xfId="5584" xr:uid="{00000000-0005-0000-0000-000032150000}"/>
    <cellStyle name="Normal 4 4 2 3 4 3 2" xfId="14079" xr:uid="{066BED4C-2EC5-4B1C-84E4-6438AC6EE094}"/>
    <cellStyle name="Normal 4 4 2 3 4 4" xfId="9866" xr:uid="{71C736C0-9426-4253-9FB2-4D1F71CA3E1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637" xr:uid="{0BC87D77-5948-48E2-A9C5-9369ECEC524C}"/>
    <cellStyle name="Normal 4 4 2 3 5 2 3" xfId="12424" xr:uid="{C1E43852-14B8-478F-9EDF-88DA18C569E6}"/>
    <cellStyle name="Normal 4 4 2 3 5 3" xfId="5997" xr:uid="{00000000-0005-0000-0000-000036150000}"/>
    <cellStyle name="Normal 4 4 2 3 5 3 2" xfId="14492" xr:uid="{45F9EDE6-FD2E-4856-8784-48A6CEBE27C5}"/>
    <cellStyle name="Normal 4 4 2 3 5 4" xfId="10279" xr:uid="{08C5606A-37F3-4169-98C8-B5EFB0135701}"/>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50" xr:uid="{A8DE9B78-B743-4993-AE0C-45D0012AD4D8}"/>
    <cellStyle name="Normal 4 4 2 3 6 2 3" xfId="12837" xr:uid="{7437CA70-14B4-4B61-B4D9-041634B9E636}"/>
    <cellStyle name="Normal 4 4 2 3 6 3" xfId="6410" xr:uid="{00000000-0005-0000-0000-00003A150000}"/>
    <cellStyle name="Normal 4 4 2 3 6 3 2" xfId="14905" xr:uid="{7D0A0CE1-3372-4852-B177-0CB623E5C888}"/>
    <cellStyle name="Normal 4 4 2 3 6 4" xfId="10692" xr:uid="{602C6839-7C68-484D-8078-2064EA125802}"/>
    <cellStyle name="Normal 4 4 2 3 7" xfId="2540" xr:uid="{00000000-0005-0000-0000-00003B150000}"/>
    <cellStyle name="Normal 4 4 2 3 7 2" xfId="6823" xr:uid="{00000000-0005-0000-0000-00003C150000}"/>
    <cellStyle name="Normal 4 4 2 3 7 2 2" xfId="15318" xr:uid="{7BCE8213-BEFB-400A-947A-D72900821DC0}"/>
    <cellStyle name="Normal 4 4 2 3 7 3" xfId="11105" xr:uid="{009B0298-FDB0-4186-AC65-45CED510A837}"/>
    <cellStyle name="Normal 4 4 2 3 8" xfId="4758" xr:uid="{00000000-0005-0000-0000-00003D150000}"/>
    <cellStyle name="Normal 4 4 2 3 8 2" xfId="13253" xr:uid="{EBD09AA3-C636-45F4-BC3D-9E2862C31CFC}"/>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813" xr:uid="{623DB16D-E487-4900-8A60-D71716F27DB7}"/>
    <cellStyle name="Normal 4 4 2 4 2 2 3" xfId="11600" xr:uid="{855F1A19-5C84-40C1-8739-C924793FE551}"/>
    <cellStyle name="Normal 4 4 2 4 2 3" xfId="5173" xr:uid="{00000000-0005-0000-0000-000042150000}"/>
    <cellStyle name="Normal 4 4 2 4 2 3 2" xfId="13668" xr:uid="{B1CC1F74-E13B-43B8-AC85-11AE0C7EF199}"/>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226" xr:uid="{C9392A84-914E-4CEE-A583-DDC45E980A04}"/>
    <cellStyle name="Normal 4 4 2 4 3 2 3" xfId="12013" xr:uid="{291DAD87-DD57-4BC6-8C7D-1F470161702D}"/>
    <cellStyle name="Normal 4 4 2 4 3 3" xfId="5586" xr:uid="{00000000-0005-0000-0000-000046150000}"/>
    <cellStyle name="Normal 4 4 2 4 3 3 2" xfId="14081" xr:uid="{52962BA9-C7A7-492F-8889-345F4656E2CD}"/>
    <cellStyle name="Normal 4 4 2 4 3 4" xfId="9868" xr:uid="{88C71EE8-56C9-48C1-9FFD-7B836646D259}"/>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639" xr:uid="{D08C3B3B-532E-4214-9836-A04CA6462637}"/>
    <cellStyle name="Normal 4 4 2 4 4 2 3" xfId="12426" xr:uid="{E51F3A79-7F01-45F9-AAA2-97D4C4296643}"/>
    <cellStyle name="Normal 4 4 2 4 4 3" xfId="5999" xr:uid="{00000000-0005-0000-0000-00004A150000}"/>
    <cellStyle name="Normal 4 4 2 4 4 3 2" xfId="14494" xr:uid="{0D527DD7-87C7-4918-A0BA-156C704F0292}"/>
    <cellStyle name="Normal 4 4 2 4 4 4" xfId="10281" xr:uid="{60325628-EC6A-4DA0-AB31-09B0745218D2}"/>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52" xr:uid="{3C1BA0BD-1F21-4324-A829-149769317805}"/>
    <cellStyle name="Normal 4 4 2 4 5 2 3" xfId="12839" xr:uid="{C1BC5033-8BE9-4712-8FBB-E893E62AEC23}"/>
    <cellStyle name="Normal 4 4 2 4 5 3" xfId="6412" xr:uid="{00000000-0005-0000-0000-00004E150000}"/>
    <cellStyle name="Normal 4 4 2 4 5 3 2" xfId="14907" xr:uid="{FBC9531B-A843-430D-8E92-0EA63BB986F8}"/>
    <cellStyle name="Normal 4 4 2 4 5 4" xfId="10694" xr:uid="{9CC9C6D1-FDBE-4C28-A5FC-42C76BD3463F}"/>
    <cellStyle name="Normal 4 4 2 4 6" xfId="2542" xr:uid="{00000000-0005-0000-0000-00004F150000}"/>
    <cellStyle name="Normal 4 4 2 4 6 2" xfId="6825" xr:uid="{00000000-0005-0000-0000-000050150000}"/>
    <cellStyle name="Normal 4 4 2 4 6 2 2" xfId="15320" xr:uid="{7F4D2DBE-7C6F-46D2-BBA2-1947E3F52EF8}"/>
    <cellStyle name="Normal 4 4 2 4 6 3" xfId="11107" xr:uid="{05A1F1FC-276E-4A04-BD70-DE90EB737ACD}"/>
    <cellStyle name="Normal 4 4 2 4 7" xfId="4760" xr:uid="{00000000-0005-0000-0000-000051150000}"/>
    <cellStyle name="Normal 4 4 2 4 7 2" xfId="13255" xr:uid="{6C1CF3F5-9EA0-484B-8EB5-5DBB0D16C62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2 2 2" xfId="15806" xr:uid="{D807B9F2-EB5D-4A47-990D-C810ECDF4FB1}"/>
    <cellStyle name="Normal 4 4 2 5 2 3" xfId="11593" xr:uid="{5BC6F6F2-2333-4A35-B60E-2B954BBD3190}"/>
    <cellStyle name="Normal 4 4 2 5 3" xfId="5166" xr:uid="{00000000-0005-0000-0000-000055150000}"/>
    <cellStyle name="Normal 4 4 2 5 3 2" xfId="13661" xr:uid="{2E479A70-DD46-4CBE-AA43-BED2C03D016F}"/>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2 2 2" xfId="16219" xr:uid="{6479F88B-89E6-46B4-B4B2-8439A5F4E541}"/>
    <cellStyle name="Normal 4 4 2 6 2 3" xfId="12006" xr:uid="{71512F57-D305-4E54-95A2-1A3022C608B4}"/>
    <cellStyle name="Normal 4 4 2 6 3" xfId="5579" xr:uid="{00000000-0005-0000-0000-000059150000}"/>
    <cellStyle name="Normal 4 4 2 6 3 2" xfId="14074" xr:uid="{37EE4537-22D4-452F-8E48-43303E374883}"/>
    <cellStyle name="Normal 4 4 2 6 4" xfId="9861" xr:uid="{0527D9E0-CB77-4E55-915C-33E7B7BF5391}"/>
    <cellStyle name="Normal 4 4 2 7" xfId="1685" xr:uid="{00000000-0005-0000-0000-00005A150000}"/>
    <cellStyle name="Normal 4 4 2 7 2" xfId="3915" xr:uid="{00000000-0005-0000-0000-00005B150000}"/>
    <cellStyle name="Normal 4 4 2 7 2 2" xfId="8137" xr:uid="{00000000-0005-0000-0000-00005C150000}"/>
    <cellStyle name="Normal 4 4 2 7 2 2 2" xfId="16632" xr:uid="{0EA1B907-8713-4608-B1AC-7CF1B6B2CF3B}"/>
    <cellStyle name="Normal 4 4 2 7 2 3" xfId="12419" xr:uid="{8290D979-BC66-475B-B544-71D69592FBDA}"/>
    <cellStyle name="Normal 4 4 2 7 3" xfId="5992" xr:uid="{00000000-0005-0000-0000-00005D150000}"/>
    <cellStyle name="Normal 4 4 2 7 3 2" xfId="14487" xr:uid="{D8B37252-40B3-4157-A826-6D37A64F7DA7}"/>
    <cellStyle name="Normal 4 4 2 7 4" xfId="10274" xr:uid="{B8A806D2-9555-41E8-BF35-D3C6DA838857}"/>
    <cellStyle name="Normal 4 4 2 8" xfId="2099" xr:uid="{00000000-0005-0000-0000-00005E150000}"/>
    <cellStyle name="Normal 4 4 2 8 2" xfId="4328" xr:uid="{00000000-0005-0000-0000-00005F150000}"/>
    <cellStyle name="Normal 4 4 2 8 2 2" xfId="8550" xr:uid="{00000000-0005-0000-0000-000060150000}"/>
    <cellStyle name="Normal 4 4 2 8 2 2 2" xfId="17045" xr:uid="{84D4323F-37FC-41BA-AA3C-5C8599F67C37}"/>
    <cellStyle name="Normal 4 4 2 8 2 3" xfId="12832" xr:uid="{66D9759A-D8A8-4289-9414-2F01E3CEAB55}"/>
    <cellStyle name="Normal 4 4 2 8 3" xfId="6405" xr:uid="{00000000-0005-0000-0000-000061150000}"/>
    <cellStyle name="Normal 4 4 2 8 3 2" xfId="14900" xr:uid="{406C1237-5C4D-46D7-A7E2-E2D614E05E3F}"/>
    <cellStyle name="Normal 4 4 2 8 4" xfId="10687" xr:uid="{F787609E-2E8B-4076-A32B-9FFB0D7F13A8}"/>
    <cellStyle name="Normal 4 4 2 9" xfId="2535" xr:uid="{00000000-0005-0000-0000-000062150000}"/>
    <cellStyle name="Normal 4 4 2 9 2" xfId="6818" xr:uid="{00000000-0005-0000-0000-000063150000}"/>
    <cellStyle name="Normal 4 4 2 9 2 2" xfId="15313" xr:uid="{65330FFB-38FD-438C-A87D-3EE8E2855F6E}"/>
    <cellStyle name="Normal 4 4 2 9 3" xfId="11100" xr:uid="{C9947CE7-4A96-4830-AF80-A7E793BCA643}"/>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816" xr:uid="{459E7EA5-0697-455F-A38F-3EA9130160DB}"/>
    <cellStyle name="Normal 4 4 3 2 2 2 2 3" xfId="11603" xr:uid="{191ADA77-C876-4C3F-95C4-92808C065415}"/>
    <cellStyle name="Normal 4 4 3 2 2 2 3" xfId="5176" xr:uid="{00000000-0005-0000-0000-00006A150000}"/>
    <cellStyle name="Normal 4 4 3 2 2 2 3 2" xfId="13671" xr:uid="{89DEC02C-C3CC-4D7D-A2D2-E773A85B7C79}"/>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229" xr:uid="{565CD208-3AB4-4952-A300-8764600BF5DA}"/>
    <cellStyle name="Normal 4 4 3 2 2 3 2 3" xfId="12016" xr:uid="{B2F0D407-CDBA-467F-BAC2-4272E3552B2C}"/>
    <cellStyle name="Normal 4 4 3 2 2 3 3" xfId="5589" xr:uid="{00000000-0005-0000-0000-00006E150000}"/>
    <cellStyle name="Normal 4 4 3 2 2 3 3 2" xfId="14084" xr:uid="{401A41A0-C41A-4419-A3C3-B15AA9C32348}"/>
    <cellStyle name="Normal 4 4 3 2 2 3 4" xfId="9871" xr:uid="{F0C1059A-27A3-48E7-9FDC-F2D3B10D3A07}"/>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642" xr:uid="{808FA879-B8F1-40BF-B71F-69D94F0B156E}"/>
    <cellStyle name="Normal 4 4 3 2 2 4 2 3" xfId="12429" xr:uid="{67327FB6-6BCC-4B46-9C49-943A2D81E002}"/>
    <cellStyle name="Normal 4 4 3 2 2 4 3" xfId="6002" xr:uid="{00000000-0005-0000-0000-000072150000}"/>
    <cellStyle name="Normal 4 4 3 2 2 4 3 2" xfId="14497" xr:uid="{5F6F1FF9-4BF5-436D-B713-8727FA3EB1C5}"/>
    <cellStyle name="Normal 4 4 3 2 2 4 4" xfId="10284" xr:uid="{0A9E0A1F-5A03-4CD8-9262-58702899778A}"/>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55" xr:uid="{A4EE49E3-230A-4F7A-AFE6-7C0898F1EDF8}"/>
    <cellStyle name="Normal 4 4 3 2 2 5 2 3" xfId="12842" xr:uid="{771C5E7D-15D1-4286-BAAC-2BE572F67908}"/>
    <cellStyle name="Normal 4 4 3 2 2 5 3" xfId="6415" xr:uid="{00000000-0005-0000-0000-000076150000}"/>
    <cellStyle name="Normal 4 4 3 2 2 5 3 2" xfId="14910" xr:uid="{85805A00-018F-4718-8D43-3C09995C2F45}"/>
    <cellStyle name="Normal 4 4 3 2 2 5 4" xfId="10697" xr:uid="{A0C7ADA3-4432-474C-8C17-11CAEDB7109B}"/>
    <cellStyle name="Normal 4 4 3 2 2 6" xfId="2545" xr:uid="{00000000-0005-0000-0000-000077150000}"/>
    <cellStyle name="Normal 4 4 3 2 2 6 2" xfId="6828" xr:uid="{00000000-0005-0000-0000-000078150000}"/>
    <cellStyle name="Normal 4 4 3 2 2 6 2 2" xfId="15323" xr:uid="{0A167FBF-4205-4EF2-850E-86BDA7508377}"/>
    <cellStyle name="Normal 4 4 3 2 2 6 3" xfId="11110" xr:uid="{91F7F1D8-8A3D-465B-8922-D2F8D745193F}"/>
    <cellStyle name="Normal 4 4 3 2 2 7" xfId="4763" xr:uid="{00000000-0005-0000-0000-000079150000}"/>
    <cellStyle name="Normal 4 4 3 2 2 7 2" xfId="13258" xr:uid="{B0D160BF-7E3B-45A3-885E-F29F38561C08}"/>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815" xr:uid="{FC4F88FB-7011-49FC-911B-67ABD467C130}"/>
    <cellStyle name="Normal 4 4 3 2 3 2 3" xfId="11602" xr:uid="{991CB636-C7F5-4E8A-B7B1-D006E8866D1D}"/>
    <cellStyle name="Normal 4 4 3 2 3 3" xfId="5175" xr:uid="{00000000-0005-0000-0000-00007D150000}"/>
    <cellStyle name="Normal 4 4 3 2 3 3 2" xfId="13670" xr:uid="{D5E3596D-8B52-4A36-80BD-997A88B3167C}"/>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228" xr:uid="{721307F4-A703-4CFE-A746-A81B2D0A695E}"/>
    <cellStyle name="Normal 4 4 3 2 4 2 3" xfId="12015" xr:uid="{722BC1A1-16BA-41A0-904B-8E6AD0D7DAD3}"/>
    <cellStyle name="Normal 4 4 3 2 4 3" xfId="5588" xr:uid="{00000000-0005-0000-0000-000081150000}"/>
    <cellStyle name="Normal 4 4 3 2 4 3 2" xfId="14083" xr:uid="{2E02D1E1-568F-4186-B00C-79739A0C7396}"/>
    <cellStyle name="Normal 4 4 3 2 4 4" xfId="9870" xr:uid="{E1872E20-5DBA-4A7C-9E38-EA3B896E3432}"/>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641" xr:uid="{BFF4AD00-F5C9-4E83-BB2E-460CE1CD92EF}"/>
    <cellStyle name="Normal 4 4 3 2 5 2 3" xfId="12428" xr:uid="{967D3883-066C-4ABD-BF36-13D78B68605D}"/>
    <cellStyle name="Normal 4 4 3 2 5 3" xfId="6001" xr:uid="{00000000-0005-0000-0000-000085150000}"/>
    <cellStyle name="Normal 4 4 3 2 5 3 2" xfId="14496" xr:uid="{F527FB4A-685D-4D9E-B05A-068390AEBBF1}"/>
    <cellStyle name="Normal 4 4 3 2 5 4" xfId="10283" xr:uid="{8E7F811F-F351-4004-A2F6-4CEADE86B582}"/>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54" xr:uid="{5276C360-675C-41CC-811E-E399306B0099}"/>
    <cellStyle name="Normal 4 4 3 2 6 2 3" xfId="12841" xr:uid="{8FAF7820-E30C-4DB5-B3C7-494B54890C46}"/>
    <cellStyle name="Normal 4 4 3 2 6 3" xfId="6414" xr:uid="{00000000-0005-0000-0000-000089150000}"/>
    <cellStyle name="Normal 4 4 3 2 6 3 2" xfId="14909" xr:uid="{2D36F0A8-8166-45AE-82F7-C34A452AD98B}"/>
    <cellStyle name="Normal 4 4 3 2 6 4" xfId="10696" xr:uid="{6FDCC37C-1AEC-4F7B-A343-850B7ECB9072}"/>
    <cellStyle name="Normal 4 4 3 2 7" xfId="2544" xr:uid="{00000000-0005-0000-0000-00008A150000}"/>
    <cellStyle name="Normal 4 4 3 2 7 2" xfId="6827" xr:uid="{00000000-0005-0000-0000-00008B150000}"/>
    <cellStyle name="Normal 4 4 3 2 7 2 2" xfId="15322" xr:uid="{2FABD8F5-FEF2-444A-A231-823C0C38491B}"/>
    <cellStyle name="Normal 4 4 3 2 7 3" xfId="11109" xr:uid="{9E6F605C-E3A0-4003-863B-97DCF33FCB15}"/>
    <cellStyle name="Normal 4 4 3 2 8" xfId="4762" xr:uid="{00000000-0005-0000-0000-00008C150000}"/>
    <cellStyle name="Normal 4 4 3 2 8 2" xfId="13257" xr:uid="{AFD4083E-0D8F-447C-A88E-B4896A89364B}"/>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817" xr:uid="{6DE60AB7-44F0-42E2-BAE3-76C5FEF9B11A}"/>
    <cellStyle name="Normal 4 4 3 3 2 2 3" xfId="11604" xr:uid="{8B8D54AB-F3ED-4486-B13C-378E34755D2F}"/>
    <cellStyle name="Normal 4 4 3 3 2 3" xfId="5177" xr:uid="{00000000-0005-0000-0000-000091150000}"/>
    <cellStyle name="Normal 4 4 3 3 2 3 2" xfId="13672" xr:uid="{2770AA9E-4BC2-49F7-A268-DF1071119752}"/>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230" xr:uid="{CA98D00D-EAA4-44DE-81CA-8769E8F548F2}"/>
    <cellStyle name="Normal 4 4 3 3 3 2 3" xfId="12017" xr:uid="{132A12F6-45B6-4510-9F1C-2CECB6EB69E4}"/>
    <cellStyle name="Normal 4 4 3 3 3 3" xfId="5590" xr:uid="{00000000-0005-0000-0000-000095150000}"/>
    <cellStyle name="Normal 4 4 3 3 3 3 2" xfId="14085" xr:uid="{9E923DB6-E44F-480D-A7E9-33B89B14DEE7}"/>
    <cellStyle name="Normal 4 4 3 3 3 4" xfId="9872" xr:uid="{FE3A320A-61C6-4291-A3F7-8B9BA5E1C958}"/>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643" xr:uid="{54EABA8B-306C-4770-ABE7-2B62EF9F076A}"/>
    <cellStyle name="Normal 4 4 3 3 4 2 3" xfId="12430" xr:uid="{78A6607C-C9C3-4233-B33C-BE2DF88355D7}"/>
    <cellStyle name="Normal 4 4 3 3 4 3" xfId="6003" xr:uid="{00000000-0005-0000-0000-000099150000}"/>
    <cellStyle name="Normal 4 4 3 3 4 3 2" xfId="14498" xr:uid="{537FF381-1BEA-49FD-B95E-E5D069C1592A}"/>
    <cellStyle name="Normal 4 4 3 3 4 4" xfId="10285" xr:uid="{B0DF20E7-9A74-471C-9E90-A60F2877BBC8}"/>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56" xr:uid="{BA2D64F5-4BCF-4E6B-AF01-48865B1BDBFF}"/>
    <cellStyle name="Normal 4 4 3 3 5 2 3" xfId="12843" xr:uid="{6CE4FE86-1428-47FE-B685-A3D7252148F4}"/>
    <cellStyle name="Normal 4 4 3 3 5 3" xfId="6416" xr:uid="{00000000-0005-0000-0000-00009D150000}"/>
    <cellStyle name="Normal 4 4 3 3 5 3 2" xfId="14911" xr:uid="{87DE5C3E-607A-42A1-A159-34E506F68C99}"/>
    <cellStyle name="Normal 4 4 3 3 5 4" xfId="10698" xr:uid="{3C5F7878-DA8D-4B60-B414-286998F1A7AC}"/>
    <cellStyle name="Normal 4 4 3 3 6" xfId="2546" xr:uid="{00000000-0005-0000-0000-00009E150000}"/>
    <cellStyle name="Normal 4 4 3 3 6 2" xfId="6829" xr:uid="{00000000-0005-0000-0000-00009F150000}"/>
    <cellStyle name="Normal 4 4 3 3 6 2 2" xfId="15324" xr:uid="{2977E3B4-C28B-49ED-8E5F-B8FBFD74D8CC}"/>
    <cellStyle name="Normal 4 4 3 3 6 3" xfId="11111" xr:uid="{D9C1AE19-EF54-4E12-AB81-F15A903B1542}"/>
    <cellStyle name="Normal 4 4 3 3 7" xfId="4764" xr:uid="{00000000-0005-0000-0000-0000A0150000}"/>
    <cellStyle name="Normal 4 4 3 3 7 2" xfId="13259" xr:uid="{57F534F3-D201-4E97-8271-80BA8371A19D}"/>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2 2 2" xfId="15814" xr:uid="{EB915AFA-1FDD-41B4-A005-A47A58135F63}"/>
    <cellStyle name="Normal 4 4 3 4 2 3" xfId="11601" xr:uid="{FACF4312-A0BE-4EF8-A290-86B00A8E3CF6}"/>
    <cellStyle name="Normal 4 4 3 4 3" xfId="5174" xr:uid="{00000000-0005-0000-0000-0000A4150000}"/>
    <cellStyle name="Normal 4 4 3 4 3 2" xfId="13669" xr:uid="{D8EDDCE4-7DD9-4E6D-ADCA-D54BBAFDF113}"/>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2 2 2" xfId="16227" xr:uid="{4CA74D66-D7D1-4485-B93E-45835BE2A259}"/>
    <cellStyle name="Normal 4 4 3 5 2 3" xfId="12014" xr:uid="{D75CC386-9BE5-4C52-8D13-3A70997BA0A9}"/>
    <cellStyle name="Normal 4 4 3 5 3" xfId="5587" xr:uid="{00000000-0005-0000-0000-0000A8150000}"/>
    <cellStyle name="Normal 4 4 3 5 3 2" xfId="14082" xr:uid="{8CFE5059-F6AA-4411-837E-832D2AB32D4B}"/>
    <cellStyle name="Normal 4 4 3 5 4" xfId="9869" xr:uid="{1FFB2DCB-5E38-4FDE-86B8-D073E8CC1A60}"/>
    <cellStyle name="Normal 4 4 3 6" xfId="1693" xr:uid="{00000000-0005-0000-0000-0000A9150000}"/>
    <cellStyle name="Normal 4 4 3 6 2" xfId="3923" xr:uid="{00000000-0005-0000-0000-0000AA150000}"/>
    <cellStyle name="Normal 4 4 3 6 2 2" xfId="8145" xr:uid="{00000000-0005-0000-0000-0000AB150000}"/>
    <cellStyle name="Normal 4 4 3 6 2 2 2" xfId="16640" xr:uid="{5C4D294F-AD17-4959-B213-BCE5291B0E7D}"/>
    <cellStyle name="Normal 4 4 3 6 2 3" xfId="12427" xr:uid="{A78CAEA9-A832-4835-9782-9543853C2B65}"/>
    <cellStyle name="Normal 4 4 3 6 3" xfId="6000" xr:uid="{00000000-0005-0000-0000-0000AC150000}"/>
    <cellStyle name="Normal 4 4 3 6 3 2" xfId="14495" xr:uid="{FFEEA37A-B693-4E23-A736-4FCD031F18D8}"/>
    <cellStyle name="Normal 4 4 3 6 4" xfId="10282" xr:uid="{9340E915-DD3C-4865-9301-F647A4A96EC9}"/>
    <cellStyle name="Normal 4 4 3 7" xfId="2107" xr:uid="{00000000-0005-0000-0000-0000AD150000}"/>
    <cellStyle name="Normal 4 4 3 7 2" xfId="4336" xr:uid="{00000000-0005-0000-0000-0000AE150000}"/>
    <cellStyle name="Normal 4 4 3 7 2 2" xfId="8558" xr:uid="{00000000-0005-0000-0000-0000AF150000}"/>
    <cellStyle name="Normal 4 4 3 7 2 2 2" xfId="17053" xr:uid="{7677FB66-4453-4824-A02F-24C42E8F5681}"/>
    <cellStyle name="Normal 4 4 3 7 2 3" xfId="12840" xr:uid="{DA864561-7A44-46B4-A5F9-8891F47CB6D0}"/>
    <cellStyle name="Normal 4 4 3 7 3" xfId="6413" xr:uid="{00000000-0005-0000-0000-0000B0150000}"/>
    <cellStyle name="Normal 4 4 3 7 3 2" xfId="14908" xr:uid="{F753460F-8BE5-4915-9BB3-47F67233FFD1}"/>
    <cellStyle name="Normal 4 4 3 7 4" xfId="10695" xr:uid="{1BD1E390-A2E9-4C15-9D18-DE17397B9AEC}"/>
    <cellStyle name="Normal 4 4 3 8" xfId="2543" xr:uid="{00000000-0005-0000-0000-0000B1150000}"/>
    <cellStyle name="Normal 4 4 3 8 2" xfId="6826" xr:uid="{00000000-0005-0000-0000-0000B2150000}"/>
    <cellStyle name="Normal 4 4 3 8 2 2" xfId="15321" xr:uid="{C6DC671D-DC44-4D9B-B6BE-1C4034D0ED1C}"/>
    <cellStyle name="Normal 4 4 3 8 3" xfId="11108" xr:uid="{03B27731-03C1-4F26-BCF4-5D28331E6302}"/>
    <cellStyle name="Normal 4 4 3 9" xfId="4761" xr:uid="{00000000-0005-0000-0000-0000B3150000}"/>
    <cellStyle name="Normal 4 4 3 9 2" xfId="13256" xr:uid="{67D8B141-8F53-43A5-BBF8-E39BC8A548EE}"/>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819" xr:uid="{27FEDE9B-EB68-4BC4-A1B6-3B4B949E7F99}"/>
    <cellStyle name="Normal 4 4 4 2 2 2 3" xfId="11606" xr:uid="{B32571B2-09FA-412B-A21D-D74F190E7CC5}"/>
    <cellStyle name="Normal 4 4 4 2 2 3" xfId="5179" xr:uid="{00000000-0005-0000-0000-0000B9150000}"/>
    <cellStyle name="Normal 4 4 4 2 2 3 2" xfId="13674" xr:uid="{5D02C7E6-E7BC-4943-90E2-FE15CD12D61D}"/>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232" xr:uid="{13FEFC8B-8A53-439D-AFEB-FE99BF64D16E}"/>
    <cellStyle name="Normal 4 4 4 2 3 2 3" xfId="12019" xr:uid="{FFA0A795-B29A-45A6-B246-5B205A274B2E}"/>
    <cellStyle name="Normal 4 4 4 2 3 3" xfId="5592" xr:uid="{00000000-0005-0000-0000-0000BD150000}"/>
    <cellStyle name="Normal 4 4 4 2 3 3 2" xfId="14087" xr:uid="{A5922902-175B-497F-A962-93EF89083D37}"/>
    <cellStyle name="Normal 4 4 4 2 3 4" xfId="9874" xr:uid="{6711AC25-FDD3-4D9A-ACF3-3642F3C10C8E}"/>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45" xr:uid="{088068A2-A09D-4E68-992E-EF85E78FE134}"/>
    <cellStyle name="Normal 4 4 4 2 4 2 3" xfId="12432" xr:uid="{3E891748-F1CD-431E-806F-CFE05AFBA6A6}"/>
    <cellStyle name="Normal 4 4 4 2 4 3" xfId="6005" xr:uid="{00000000-0005-0000-0000-0000C1150000}"/>
    <cellStyle name="Normal 4 4 4 2 4 3 2" xfId="14500" xr:uid="{84C697DC-324C-42BC-96E4-8D798D7855D7}"/>
    <cellStyle name="Normal 4 4 4 2 4 4" xfId="10287" xr:uid="{AEDA22AC-C9BA-4371-9FA0-F8FF6EA5175A}"/>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58" xr:uid="{CA0F0335-53EA-4D25-A979-2F11BBFCB1DD}"/>
    <cellStyle name="Normal 4 4 4 2 5 2 3" xfId="12845" xr:uid="{635EE472-66B5-46F6-A18D-E7008BEF56F5}"/>
    <cellStyle name="Normal 4 4 4 2 5 3" xfId="6418" xr:uid="{00000000-0005-0000-0000-0000C5150000}"/>
    <cellStyle name="Normal 4 4 4 2 5 3 2" xfId="14913" xr:uid="{C0E47807-7C64-422A-87F2-6463B2D4761D}"/>
    <cellStyle name="Normal 4 4 4 2 5 4" xfId="10700" xr:uid="{4B75B687-ABC3-45BE-A4ED-0EB8C9115CA4}"/>
    <cellStyle name="Normal 4 4 4 2 6" xfId="2548" xr:uid="{00000000-0005-0000-0000-0000C6150000}"/>
    <cellStyle name="Normal 4 4 4 2 6 2" xfId="6831" xr:uid="{00000000-0005-0000-0000-0000C7150000}"/>
    <cellStyle name="Normal 4 4 4 2 6 2 2" xfId="15326" xr:uid="{089BDBDC-B61A-464C-9932-2378D5D34889}"/>
    <cellStyle name="Normal 4 4 4 2 6 3" xfId="11113" xr:uid="{B8C3F30A-D8D6-4010-BBCE-8DD05AC0B219}"/>
    <cellStyle name="Normal 4 4 4 2 7" xfId="4766" xr:uid="{00000000-0005-0000-0000-0000C8150000}"/>
    <cellStyle name="Normal 4 4 4 2 7 2" xfId="13261" xr:uid="{30BD24E5-ADB1-4B08-BDE8-0FB077542221}"/>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2 2 2" xfId="15818" xr:uid="{9DAA6FF2-8A03-4CB4-8072-DB95CF1827F8}"/>
    <cellStyle name="Normal 4 4 4 3 2 3" xfId="11605" xr:uid="{CB948C7C-85F6-468E-9DE6-CE1C46D00957}"/>
    <cellStyle name="Normal 4 4 4 3 3" xfId="5178" xr:uid="{00000000-0005-0000-0000-0000CC150000}"/>
    <cellStyle name="Normal 4 4 4 3 3 2" xfId="13673" xr:uid="{F3BD7E05-7AF8-473D-AB3F-47276AC12857}"/>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2 2 2" xfId="16231" xr:uid="{FFA44D1B-DB4F-4503-B037-DF24102B0449}"/>
    <cellStyle name="Normal 4 4 4 4 2 3" xfId="12018" xr:uid="{4B9920ED-270A-4400-B88D-B19D494543FD}"/>
    <cellStyle name="Normal 4 4 4 4 3" xfId="5591" xr:uid="{00000000-0005-0000-0000-0000D0150000}"/>
    <cellStyle name="Normal 4 4 4 4 3 2" xfId="14086" xr:uid="{F190CF67-7622-42A3-B6FD-401193D91197}"/>
    <cellStyle name="Normal 4 4 4 4 4" xfId="9873" xr:uid="{54F5ECB8-92A3-4802-B17E-E11EF8AC4477}"/>
    <cellStyle name="Normal 4 4 4 5" xfId="1697" xr:uid="{00000000-0005-0000-0000-0000D1150000}"/>
    <cellStyle name="Normal 4 4 4 5 2" xfId="3927" xr:uid="{00000000-0005-0000-0000-0000D2150000}"/>
    <cellStyle name="Normal 4 4 4 5 2 2" xfId="8149" xr:uid="{00000000-0005-0000-0000-0000D3150000}"/>
    <cellStyle name="Normal 4 4 4 5 2 2 2" xfId="16644" xr:uid="{90EBDDF9-5FB8-41E7-A033-8737CF3670A4}"/>
    <cellStyle name="Normal 4 4 4 5 2 3" xfId="12431" xr:uid="{B4633419-8081-4116-9EF0-3EAA4C8C8834}"/>
    <cellStyle name="Normal 4 4 4 5 3" xfId="6004" xr:uid="{00000000-0005-0000-0000-0000D4150000}"/>
    <cellStyle name="Normal 4 4 4 5 3 2" xfId="14499" xr:uid="{43E42E86-302C-4EE2-A891-27A51947B540}"/>
    <cellStyle name="Normal 4 4 4 5 4" xfId="10286" xr:uid="{82BEEC64-8B7A-4FCF-8344-722860A895AB}"/>
    <cellStyle name="Normal 4 4 4 6" xfId="2111" xr:uid="{00000000-0005-0000-0000-0000D5150000}"/>
    <cellStyle name="Normal 4 4 4 6 2" xfId="4340" xr:uid="{00000000-0005-0000-0000-0000D6150000}"/>
    <cellStyle name="Normal 4 4 4 6 2 2" xfId="8562" xr:uid="{00000000-0005-0000-0000-0000D7150000}"/>
    <cellStyle name="Normal 4 4 4 6 2 2 2" xfId="17057" xr:uid="{A85C1883-277B-4F9B-BDBC-80B36EC96C57}"/>
    <cellStyle name="Normal 4 4 4 6 2 3" xfId="12844" xr:uid="{6EE54278-1977-4606-A37F-6A1303D89AB3}"/>
    <cellStyle name="Normal 4 4 4 6 3" xfId="6417" xr:uid="{00000000-0005-0000-0000-0000D8150000}"/>
    <cellStyle name="Normal 4 4 4 6 3 2" xfId="14912" xr:uid="{57B787B0-F730-460B-A5BE-DD458D7C876E}"/>
    <cellStyle name="Normal 4 4 4 6 4" xfId="10699" xr:uid="{F451C9E7-153D-4B52-A321-23C8E2D12484}"/>
    <cellStyle name="Normal 4 4 4 7" xfId="2547" xr:uid="{00000000-0005-0000-0000-0000D9150000}"/>
    <cellStyle name="Normal 4 4 4 7 2" xfId="6830" xr:uid="{00000000-0005-0000-0000-0000DA150000}"/>
    <cellStyle name="Normal 4 4 4 7 2 2" xfId="15325" xr:uid="{CB730BB2-F65E-4F91-AEF4-21BB1800A0C6}"/>
    <cellStyle name="Normal 4 4 4 7 3" xfId="11112" xr:uid="{41BD2DF3-EE62-4289-9810-FF90AC287484}"/>
    <cellStyle name="Normal 4 4 4 8" xfId="4765" xr:uid="{00000000-0005-0000-0000-0000DB150000}"/>
    <cellStyle name="Normal 4 4 4 8 2" xfId="13260" xr:uid="{98FA1753-AC9D-4689-8A98-5A26F435BEF9}"/>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820" xr:uid="{D03A4218-E2DF-42D0-A3D7-FC92EBA141B5}"/>
    <cellStyle name="Normal 4 4 5 2 2 3" xfId="11607" xr:uid="{574C5285-1301-4DDB-9E57-18CAEA137E0B}"/>
    <cellStyle name="Normal 4 4 5 2 3" xfId="5180" xr:uid="{00000000-0005-0000-0000-0000E0150000}"/>
    <cellStyle name="Normal 4 4 5 2 3 2" xfId="13675" xr:uid="{D718A82F-BF2A-46D3-B6E2-16067C6A4F1A}"/>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2 2 2" xfId="16233" xr:uid="{781B74B4-2A0E-42EB-9EA7-E26CFE12E3B2}"/>
    <cellStyle name="Normal 4 4 5 3 2 3" xfId="12020" xr:uid="{DDA0A437-436C-4818-AC7C-04882D5D8473}"/>
    <cellStyle name="Normal 4 4 5 3 3" xfId="5593" xr:uid="{00000000-0005-0000-0000-0000E4150000}"/>
    <cellStyle name="Normal 4 4 5 3 3 2" xfId="14088" xr:uid="{AA0CDE14-0067-491A-8A4C-E65FD35CB3AA}"/>
    <cellStyle name="Normal 4 4 5 3 4" xfId="9875" xr:uid="{0D25E7E1-C370-4C36-80A1-30F02CC01565}"/>
    <cellStyle name="Normal 4 4 5 4" xfId="1699" xr:uid="{00000000-0005-0000-0000-0000E5150000}"/>
    <cellStyle name="Normal 4 4 5 4 2" xfId="3929" xr:uid="{00000000-0005-0000-0000-0000E6150000}"/>
    <cellStyle name="Normal 4 4 5 4 2 2" xfId="8151" xr:uid="{00000000-0005-0000-0000-0000E7150000}"/>
    <cellStyle name="Normal 4 4 5 4 2 2 2" xfId="16646" xr:uid="{B4EB84AE-33A5-415F-82C3-6E0B94A0342F}"/>
    <cellStyle name="Normal 4 4 5 4 2 3" xfId="12433" xr:uid="{E9F82CAD-F104-4599-BDFB-89703156072E}"/>
    <cellStyle name="Normal 4 4 5 4 3" xfId="6006" xr:uid="{00000000-0005-0000-0000-0000E8150000}"/>
    <cellStyle name="Normal 4 4 5 4 3 2" xfId="14501" xr:uid="{D1E0D87D-9176-4DA9-9CAF-6632157CCD11}"/>
    <cellStyle name="Normal 4 4 5 4 4" xfId="10288" xr:uid="{4132B5AB-3945-4028-9D1C-8064E834AAAC}"/>
    <cellStyle name="Normal 4 4 5 5" xfId="2113" xr:uid="{00000000-0005-0000-0000-0000E9150000}"/>
    <cellStyle name="Normal 4 4 5 5 2" xfId="4342" xr:uid="{00000000-0005-0000-0000-0000EA150000}"/>
    <cellStyle name="Normal 4 4 5 5 2 2" xfId="8564" xr:uid="{00000000-0005-0000-0000-0000EB150000}"/>
    <cellStyle name="Normal 4 4 5 5 2 2 2" xfId="17059" xr:uid="{C96A0AD1-906F-4E6D-A93F-EBCE2FF5B8E8}"/>
    <cellStyle name="Normal 4 4 5 5 2 3" xfId="12846" xr:uid="{0DF42F02-7644-4838-9F75-3789569800E8}"/>
    <cellStyle name="Normal 4 4 5 5 3" xfId="6419" xr:uid="{00000000-0005-0000-0000-0000EC150000}"/>
    <cellStyle name="Normal 4 4 5 5 3 2" xfId="14914" xr:uid="{1A646C4D-F677-4917-9E49-430D399EA76B}"/>
    <cellStyle name="Normal 4 4 5 5 4" xfId="10701" xr:uid="{60F714BA-D0FF-4961-8346-0DFC2511F6CB}"/>
    <cellStyle name="Normal 4 4 5 6" xfId="2549" xr:uid="{00000000-0005-0000-0000-0000ED150000}"/>
    <cellStyle name="Normal 4 4 5 6 2" xfId="6832" xr:uid="{00000000-0005-0000-0000-0000EE150000}"/>
    <cellStyle name="Normal 4 4 5 6 2 2" xfId="15327" xr:uid="{B83A4659-E41D-460E-A4C5-B3873D5E7893}"/>
    <cellStyle name="Normal 4 4 5 6 3" xfId="11114" xr:uid="{57E09C4D-2C5F-4689-BCAF-97D1C0DB140C}"/>
    <cellStyle name="Normal 4 4 5 7" xfId="4767" xr:uid="{00000000-0005-0000-0000-0000EF150000}"/>
    <cellStyle name="Normal 4 4 5 7 2" xfId="13262" xr:uid="{30A9C190-9160-4FF7-AF73-63D9F1C5F56B}"/>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2 2 2" xfId="15805" xr:uid="{6B9C5809-7373-4849-807D-28A8F23ACBB6}"/>
    <cellStyle name="Normal 4 4 6 2 3" xfId="11592" xr:uid="{5CE770DB-012C-480D-B1F9-6132D8D4EADB}"/>
    <cellStyle name="Normal 4 4 6 3" xfId="5165" xr:uid="{00000000-0005-0000-0000-0000F3150000}"/>
    <cellStyle name="Normal 4 4 6 3 2" xfId="13660" xr:uid="{C1834F4E-484B-4242-B847-01BD3B6462E4}"/>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2 2 2" xfId="16218" xr:uid="{13B78C0B-765F-4037-8718-D51067F0781E}"/>
    <cellStyle name="Normal 4 4 7 2 3" xfId="12005" xr:uid="{43B320C0-3139-4B60-A0AE-2956756B784C}"/>
    <cellStyle name="Normal 4 4 7 3" xfId="5578" xr:uid="{00000000-0005-0000-0000-0000F7150000}"/>
    <cellStyle name="Normal 4 4 7 3 2" xfId="14073" xr:uid="{AF21E15D-E208-4FD5-8DC6-945A629F0236}"/>
    <cellStyle name="Normal 4 4 7 4" xfId="9860" xr:uid="{F4A9AB5D-5D55-448D-A5DC-F99403478E74}"/>
    <cellStyle name="Normal 4 4 8" xfId="1684" xr:uid="{00000000-0005-0000-0000-0000F8150000}"/>
    <cellStyle name="Normal 4 4 8 2" xfId="3914" xr:uid="{00000000-0005-0000-0000-0000F9150000}"/>
    <cellStyle name="Normal 4 4 8 2 2" xfId="8136" xr:uid="{00000000-0005-0000-0000-0000FA150000}"/>
    <cellStyle name="Normal 4 4 8 2 2 2" xfId="16631" xr:uid="{4602DE1B-7162-49DB-B238-A6E81C0A69F6}"/>
    <cellStyle name="Normal 4 4 8 2 3" xfId="12418" xr:uid="{E98AB2A0-DCD7-4E18-811E-59EAA1B8F742}"/>
    <cellStyle name="Normal 4 4 8 3" xfId="5991" xr:uid="{00000000-0005-0000-0000-0000FB150000}"/>
    <cellStyle name="Normal 4 4 8 3 2" xfId="14486" xr:uid="{4405278C-27C3-42E5-9927-2EF3B9D1768E}"/>
    <cellStyle name="Normal 4 4 8 4" xfId="10273" xr:uid="{7D9C9591-0AFE-434C-AF60-953911DDBFDB}"/>
    <cellStyle name="Normal 4 4 9" xfId="2098" xr:uid="{00000000-0005-0000-0000-0000FC150000}"/>
    <cellStyle name="Normal 4 4 9 2" xfId="4327" xr:uid="{00000000-0005-0000-0000-0000FD150000}"/>
    <cellStyle name="Normal 4 4 9 2 2" xfId="8549" xr:uid="{00000000-0005-0000-0000-0000FE150000}"/>
    <cellStyle name="Normal 4 4 9 2 2 2" xfId="17044" xr:uid="{749ED10F-B38E-471D-93BF-62BB0ED25DD4}"/>
    <cellStyle name="Normal 4 4 9 2 3" xfId="12831" xr:uid="{A38A6440-E458-4D64-BE6F-7296D8D1B8B0}"/>
    <cellStyle name="Normal 4 4 9 3" xfId="6404" xr:uid="{00000000-0005-0000-0000-0000FF150000}"/>
    <cellStyle name="Normal 4 4 9 3 2" xfId="14899" xr:uid="{A8B126D3-C03B-460E-A1C4-A5375F35BD2E}"/>
    <cellStyle name="Normal 4 4 9 4" xfId="10686" xr:uid="{1BE688EA-9308-4651-A2C8-9BA152AB6BD6}"/>
    <cellStyle name="Normal 4 5" xfId="394" xr:uid="{00000000-0005-0000-0000-000000160000}"/>
    <cellStyle name="Normal 4 6" xfId="395" xr:uid="{00000000-0005-0000-0000-000001160000}"/>
    <cellStyle name="Normal 4 6 10" xfId="4768" xr:uid="{00000000-0005-0000-0000-000002160000}"/>
    <cellStyle name="Normal 4 6 10 2" xfId="13263" xr:uid="{E8957A52-D207-496C-916F-28A40F690FAF}"/>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824" xr:uid="{A066670D-1C1D-47EF-9BFA-6470B5BE2EF9}"/>
    <cellStyle name="Normal 4 6 2 2 2 2 2 3" xfId="11611" xr:uid="{B2741DC9-DB66-46E4-B786-B66B06BCA57D}"/>
    <cellStyle name="Normal 4 6 2 2 2 2 3" xfId="5184" xr:uid="{00000000-0005-0000-0000-000009160000}"/>
    <cellStyle name="Normal 4 6 2 2 2 2 3 2" xfId="13679" xr:uid="{96700D2B-9D35-440D-800B-78CE96DE92DF}"/>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237" xr:uid="{A86013E8-8ECC-486A-B868-53E17B691189}"/>
    <cellStyle name="Normal 4 6 2 2 2 3 2 3" xfId="12024" xr:uid="{E73A49B1-661D-4AE5-A721-3C5CC01341DC}"/>
    <cellStyle name="Normal 4 6 2 2 2 3 3" xfId="5597" xr:uid="{00000000-0005-0000-0000-00000D160000}"/>
    <cellStyle name="Normal 4 6 2 2 2 3 3 2" xfId="14092" xr:uid="{7F1E3255-C81A-4D62-959A-A4DA11940D46}"/>
    <cellStyle name="Normal 4 6 2 2 2 3 4" xfId="9879" xr:uid="{F058D490-1BA5-4B04-9725-0CB14550C93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50" xr:uid="{0FA32583-101E-4E28-810F-3B160AF2A83D}"/>
    <cellStyle name="Normal 4 6 2 2 2 4 2 3" xfId="12437" xr:uid="{F4AC65CD-187C-4954-9E63-D4991FA2B338}"/>
    <cellStyle name="Normal 4 6 2 2 2 4 3" xfId="6010" xr:uid="{00000000-0005-0000-0000-000011160000}"/>
    <cellStyle name="Normal 4 6 2 2 2 4 3 2" xfId="14505" xr:uid="{BBC84592-5C4D-4A37-A5DF-E685A4D1545D}"/>
    <cellStyle name="Normal 4 6 2 2 2 4 4" xfId="10292" xr:uid="{51F84402-66CE-42D0-B4DF-4120E8C44C0B}"/>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63" xr:uid="{5EC69675-9985-4F2E-ADB6-724F1AA277B1}"/>
    <cellStyle name="Normal 4 6 2 2 2 5 2 3" xfId="12850" xr:uid="{C0103B79-EA30-4CA7-BE00-79979FD76F37}"/>
    <cellStyle name="Normal 4 6 2 2 2 5 3" xfId="6423" xr:uid="{00000000-0005-0000-0000-000015160000}"/>
    <cellStyle name="Normal 4 6 2 2 2 5 3 2" xfId="14918" xr:uid="{A0983BB4-03ED-4F18-9DD3-5EFCCED500F3}"/>
    <cellStyle name="Normal 4 6 2 2 2 5 4" xfId="10705" xr:uid="{70AD5506-EE77-4FBA-AE53-57E9CDD6DBB1}"/>
    <cellStyle name="Normal 4 6 2 2 2 6" xfId="2553" xr:uid="{00000000-0005-0000-0000-000016160000}"/>
    <cellStyle name="Normal 4 6 2 2 2 6 2" xfId="6836" xr:uid="{00000000-0005-0000-0000-000017160000}"/>
    <cellStyle name="Normal 4 6 2 2 2 6 2 2" xfId="15331" xr:uid="{DE3B9FFD-02A6-47FF-BBD4-A82F9E762EFD}"/>
    <cellStyle name="Normal 4 6 2 2 2 6 3" xfId="11118" xr:uid="{15E40632-6835-46C0-9828-6ED9BA5F0BBF}"/>
    <cellStyle name="Normal 4 6 2 2 2 7" xfId="4771" xr:uid="{00000000-0005-0000-0000-000018160000}"/>
    <cellStyle name="Normal 4 6 2 2 2 7 2" xfId="13266" xr:uid="{9416B83D-A4CF-4EA0-BAD9-B0F85F1CB9E4}"/>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823" xr:uid="{D78D229E-014C-4B1D-9833-008186161353}"/>
    <cellStyle name="Normal 4 6 2 2 3 2 3" xfId="11610" xr:uid="{02D2659C-5A49-415B-915D-9D724932228E}"/>
    <cellStyle name="Normal 4 6 2 2 3 3" xfId="5183" xr:uid="{00000000-0005-0000-0000-00001C160000}"/>
    <cellStyle name="Normal 4 6 2 2 3 3 2" xfId="13678" xr:uid="{DC2D95FD-C66F-42B3-9017-D96B07E873DA}"/>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236" xr:uid="{51CE0B8F-02F4-446A-B039-C09B5099029E}"/>
    <cellStyle name="Normal 4 6 2 2 4 2 3" xfId="12023" xr:uid="{55324E41-4A14-4EFD-BB4A-BB5D06A9521E}"/>
    <cellStyle name="Normal 4 6 2 2 4 3" xfId="5596" xr:uid="{00000000-0005-0000-0000-000020160000}"/>
    <cellStyle name="Normal 4 6 2 2 4 3 2" xfId="14091" xr:uid="{EFC08305-377C-4EAD-816E-AFB7E29DC0FA}"/>
    <cellStyle name="Normal 4 6 2 2 4 4" xfId="9878" xr:uid="{55D45D3F-9161-4F8D-A939-0CCF4DDEF02F}"/>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49" xr:uid="{BD602AE5-9464-425F-89D3-4AE326B34DE8}"/>
    <cellStyle name="Normal 4 6 2 2 5 2 3" xfId="12436" xr:uid="{7B012256-FC12-4F65-83EA-D42EBA4A99C3}"/>
    <cellStyle name="Normal 4 6 2 2 5 3" xfId="6009" xr:uid="{00000000-0005-0000-0000-000024160000}"/>
    <cellStyle name="Normal 4 6 2 2 5 3 2" xfId="14504" xr:uid="{8AEDAC84-8C0C-407A-A093-A4DFC8D2298D}"/>
    <cellStyle name="Normal 4 6 2 2 5 4" xfId="10291" xr:uid="{22AD40D0-D90A-4BA3-B39C-F3F435168FD5}"/>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62" xr:uid="{153E1A8A-9045-46C4-BFC3-05FBB323B377}"/>
    <cellStyle name="Normal 4 6 2 2 6 2 3" xfId="12849" xr:uid="{06A60494-2B0C-45BB-B31E-67C3FEDBAA89}"/>
    <cellStyle name="Normal 4 6 2 2 6 3" xfId="6422" xr:uid="{00000000-0005-0000-0000-000028160000}"/>
    <cellStyle name="Normal 4 6 2 2 6 3 2" xfId="14917" xr:uid="{2EADEA1E-2F29-4803-83DD-E66D92A68B98}"/>
    <cellStyle name="Normal 4 6 2 2 6 4" xfId="10704" xr:uid="{BFEBC275-3BA8-4032-8C32-CC32DDD9168D}"/>
    <cellStyle name="Normal 4 6 2 2 7" xfId="2552" xr:uid="{00000000-0005-0000-0000-000029160000}"/>
    <cellStyle name="Normal 4 6 2 2 7 2" xfId="6835" xr:uid="{00000000-0005-0000-0000-00002A160000}"/>
    <cellStyle name="Normal 4 6 2 2 7 2 2" xfId="15330" xr:uid="{5B9961FE-06F5-43AF-B622-FC1CF3B371FA}"/>
    <cellStyle name="Normal 4 6 2 2 7 3" xfId="11117" xr:uid="{496C1819-45BB-493D-B099-C48CF7B52277}"/>
    <cellStyle name="Normal 4 6 2 2 8" xfId="4770" xr:uid="{00000000-0005-0000-0000-00002B160000}"/>
    <cellStyle name="Normal 4 6 2 2 8 2" xfId="13265" xr:uid="{25F02214-B066-4357-A399-86C65AA25795}"/>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825" xr:uid="{9B8BE534-C892-458B-A5FD-8A07BF91D693}"/>
    <cellStyle name="Normal 4 6 2 3 2 2 3" xfId="11612" xr:uid="{B05836F0-5263-4069-9AFE-901F04A4962A}"/>
    <cellStyle name="Normal 4 6 2 3 2 3" xfId="5185" xr:uid="{00000000-0005-0000-0000-000030160000}"/>
    <cellStyle name="Normal 4 6 2 3 2 3 2" xfId="13680" xr:uid="{9244DA8C-19BE-4EB3-A161-59CBA24943F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238" xr:uid="{4EF524DB-6262-4709-B6E9-001078CD9A0D}"/>
    <cellStyle name="Normal 4 6 2 3 3 2 3" xfId="12025" xr:uid="{52512213-10A0-4265-93D1-ECFF5F64F920}"/>
    <cellStyle name="Normal 4 6 2 3 3 3" xfId="5598" xr:uid="{00000000-0005-0000-0000-000034160000}"/>
    <cellStyle name="Normal 4 6 2 3 3 3 2" xfId="14093" xr:uid="{48BDF3E2-8C1E-46ED-8E65-2AA3BF985C6C}"/>
    <cellStyle name="Normal 4 6 2 3 3 4" xfId="9880" xr:uid="{0BAC15C3-29EB-4830-8308-42C5F12F5ECB}"/>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51" xr:uid="{A0C117D0-9483-4547-A7D7-F9819ED0BDCA}"/>
    <cellStyle name="Normal 4 6 2 3 4 2 3" xfId="12438" xr:uid="{CF42166E-ADE6-4D95-B0BD-9A18A2263AC2}"/>
    <cellStyle name="Normal 4 6 2 3 4 3" xfId="6011" xr:uid="{00000000-0005-0000-0000-000038160000}"/>
    <cellStyle name="Normal 4 6 2 3 4 3 2" xfId="14506" xr:uid="{E629728B-CFAA-4CE0-9D93-420674EFE57D}"/>
    <cellStyle name="Normal 4 6 2 3 4 4" xfId="10293" xr:uid="{11D0812C-6EF9-4CBB-BC47-8FA82663D38E}"/>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64" xr:uid="{EFC7D8C9-B84B-4C99-AD73-E12DF7F7C6B7}"/>
    <cellStyle name="Normal 4 6 2 3 5 2 3" xfId="12851" xr:uid="{6E0B7D6E-47BD-4F97-B170-20DA610E2A9C}"/>
    <cellStyle name="Normal 4 6 2 3 5 3" xfId="6424" xr:uid="{00000000-0005-0000-0000-00003C160000}"/>
    <cellStyle name="Normal 4 6 2 3 5 3 2" xfId="14919" xr:uid="{731F6661-B494-448A-B103-CDBEBE9442EE}"/>
    <cellStyle name="Normal 4 6 2 3 5 4" xfId="10706" xr:uid="{06A8575D-880E-49FE-BDA9-DDF6AD1B6B6C}"/>
    <cellStyle name="Normal 4 6 2 3 6" xfId="2554" xr:uid="{00000000-0005-0000-0000-00003D160000}"/>
    <cellStyle name="Normal 4 6 2 3 6 2" xfId="6837" xr:uid="{00000000-0005-0000-0000-00003E160000}"/>
    <cellStyle name="Normal 4 6 2 3 6 2 2" xfId="15332" xr:uid="{62CB72DA-7C8D-4E84-B9C5-4623D10FF948}"/>
    <cellStyle name="Normal 4 6 2 3 6 3" xfId="11119" xr:uid="{FDA99F13-94E8-42CE-9302-73B4FDC80505}"/>
    <cellStyle name="Normal 4 6 2 3 7" xfId="4772" xr:uid="{00000000-0005-0000-0000-00003F160000}"/>
    <cellStyle name="Normal 4 6 2 3 7 2" xfId="13267" xr:uid="{55158684-8539-4852-99DD-15AC1F2C5444}"/>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2 2 2" xfId="15822" xr:uid="{4581673A-EF33-4A79-AEB9-E041ADE2D732}"/>
    <cellStyle name="Normal 4 6 2 4 2 3" xfId="11609" xr:uid="{ED5B96A2-681F-477A-A922-EC7D2C5B6D8B}"/>
    <cellStyle name="Normal 4 6 2 4 3" xfId="5182" xr:uid="{00000000-0005-0000-0000-000043160000}"/>
    <cellStyle name="Normal 4 6 2 4 3 2" xfId="13677" xr:uid="{12AB2498-9555-4286-A1C2-51761550FF03}"/>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2 2 2" xfId="16235" xr:uid="{656EE872-DDC3-4A72-99D6-99371D5F334D}"/>
    <cellStyle name="Normal 4 6 2 5 2 3" xfId="12022" xr:uid="{76AFEFA8-9519-4E6D-B4B2-50D967C2B5E4}"/>
    <cellStyle name="Normal 4 6 2 5 3" xfId="5595" xr:uid="{00000000-0005-0000-0000-000047160000}"/>
    <cellStyle name="Normal 4 6 2 5 3 2" xfId="14090" xr:uid="{09144563-52DC-472D-82DC-A0409107D9E8}"/>
    <cellStyle name="Normal 4 6 2 5 4" xfId="9877" xr:uid="{E797D05E-51A8-417D-BE23-81DBFD90FD8D}"/>
    <cellStyle name="Normal 4 6 2 6" xfId="1701" xr:uid="{00000000-0005-0000-0000-000048160000}"/>
    <cellStyle name="Normal 4 6 2 6 2" xfId="3931" xr:uid="{00000000-0005-0000-0000-000049160000}"/>
    <cellStyle name="Normal 4 6 2 6 2 2" xfId="8153" xr:uid="{00000000-0005-0000-0000-00004A160000}"/>
    <cellStyle name="Normal 4 6 2 6 2 2 2" xfId="16648" xr:uid="{F30615C9-7E4C-42CB-8A03-3408FE6388E4}"/>
    <cellStyle name="Normal 4 6 2 6 2 3" xfId="12435" xr:uid="{D8857DB6-7BCE-4A50-B812-CEAA6B9C2810}"/>
    <cellStyle name="Normal 4 6 2 6 3" xfId="6008" xr:uid="{00000000-0005-0000-0000-00004B160000}"/>
    <cellStyle name="Normal 4 6 2 6 3 2" xfId="14503" xr:uid="{7A5E3F54-A636-4318-847F-01708678A1ED}"/>
    <cellStyle name="Normal 4 6 2 6 4" xfId="10290" xr:uid="{90AB3D5C-78E4-47E5-BF9E-F56B450004FD}"/>
    <cellStyle name="Normal 4 6 2 7" xfId="2115" xr:uid="{00000000-0005-0000-0000-00004C160000}"/>
    <cellStyle name="Normal 4 6 2 7 2" xfId="4344" xr:uid="{00000000-0005-0000-0000-00004D160000}"/>
    <cellStyle name="Normal 4 6 2 7 2 2" xfId="8566" xr:uid="{00000000-0005-0000-0000-00004E160000}"/>
    <cellStyle name="Normal 4 6 2 7 2 2 2" xfId="17061" xr:uid="{43FD102C-CC1C-4DE9-8E9C-B7FB8E788DC3}"/>
    <cellStyle name="Normal 4 6 2 7 2 3" xfId="12848" xr:uid="{5CC2B801-B6BA-47F2-A5F6-EDF41099092F}"/>
    <cellStyle name="Normal 4 6 2 7 3" xfId="6421" xr:uid="{00000000-0005-0000-0000-00004F160000}"/>
    <cellStyle name="Normal 4 6 2 7 3 2" xfId="14916" xr:uid="{AC197369-DE9B-4573-A48D-EC01A803EAF6}"/>
    <cellStyle name="Normal 4 6 2 7 4" xfId="10703" xr:uid="{AEC4857B-1800-4B11-AF93-FD430940E54C}"/>
    <cellStyle name="Normal 4 6 2 8" xfId="2551" xr:uid="{00000000-0005-0000-0000-000050160000}"/>
    <cellStyle name="Normal 4 6 2 8 2" xfId="6834" xr:uid="{00000000-0005-0000-0000-000051160000}"/>
    <cellStyle name="Normal 4 6 2 8 2 2" xfId="15329" xr:uid="{0A32B065-04A4-4553-92F2-0A571B763861}"/>
    <cellStyle name="Normal 4 6 2 8 3" xfId="11116" xr:uid="{C58FD937-842A-4E71-A4BA-24BB76D5013C}"/>
    <cellStyle name="Normal 4 6 2 9" xfId="4769" xr:uid="{00000000-0005-0000-0000-000052160000}"/>
    <cellStyle name="Normal 4 6 2 9 2" xfId="13264" xr:uid="{5BD93C18-DF32-4A9A-8B2C-A8E9CB5DBDB6}"/>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827" xr:uid="{E205896B-D1EE-479C-B01F-8918C877C094}"/>
    <cellStyle name="Normal 4 6 3 2 2 2 3" xfId="11614" xr:uid="{DE0A58B4-5305-481C-BB06-57B96E8C168A}"/>
    <cellStyle name="Normal 4 6 3 2 2 3" xfId="5187" xr:uid="{00000000-0005-0000-0000-000058160000}"/>
    <cellStyle name="Normal 4 6 3 2 2 3 2" xfId="13682" xr:uid="{B5A2ED02-B120-4625-A620-D94E25ADB5D1}"/>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240" xr:uid="{BD0E8F98-9D0F-478D-BE2E-1BCB7433F314}"/>
    <cellStyle name="Normal 4 6 3 2 3 2 3" xfId="12027" xr:uid="{EE6572E8-B044-4449-A282-A1AF3D288139}"/>
    <cellStyle name="Normal 4 6 3 2 3 3" xfId="5600" xr:uid="{00000000-0005-0000-0000-00005C160000}"/>
    <cellStyle name="Normal 4 6 3 2 3 3 2" xfId="14095" xr:uid="{6E424D9C-D39D-488B-BA91-B858E111380B}"/>
    <cellStyle name="Normal 4 6 3 2 3 4" xfId="9882" xr:uid="{4C168479-EA93-4F5A-A7E3-BF0700D7BC46}"/>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53" xr:uid="{7823B639-739B-4898-8FAB-76572D90BA5E}"/>
    <cellStyle name="Normal 4 6 3 2 4 2 3" xfId="12440" xr:uid="{96188D2D-C173-4FA3-B9EB-5FEBE7360C33}"/>
    <cellStyle name="Normal 4 6 3 2 4 3" xfId="6013" xr:uid="{00000000-0005-0000-0000-000060160000}"/>
    <cellStyle name="Normal 4 6 3 2 4 3 2" xfId="14508" xr:uid="{EFBEEC30-6513-41B2-BEE1-0CB3104F16CF}"/>
    <cellStyle name="Normal 4 6 3 2 4 4" xfId="10295" xr:uid="{A0398D19-A969-4266-B199-5AC537C00DF5}"/>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66" xr:uid="{3E1CF2BF-0CB3-439A-BA52-61239F26BCAC}"/>
    <cellStyle name="Normal 4 6 3 2 5 2 3" xfId="12853" xr:uid="{88A54752-D838-4CB0-AD9D-94CFEE7FFA43}"/>
    <cellStyle name="Normal 4 6 3 2 5 3" xfId="6426" xr:uid="{00000000-0005-0000-0000-000064160000}"/>
    <cellStyle name="Normal 4 6 3 2 5 3 2" xfId="14921" xr:uid="{EE4FC657-2D3B-4ADE-9AA8-6EA51C1028DA}"/>
    <cellStyle name="Normal 4 6 3 2 5 4" xfId="10708" xr:uid="{DD8B81E2-0B63-449A-809E-615623925C02}"/>
    <cellStyle name="Normal 4 6 3 2 6" xfId="2556" xr:uid="{00000000-0005-0000-0000-000065160000}"/>
    <cellStyle name="Normal 4 6 3 2 6 2" xfId="6839" xr:uid="{00000000-0005-0000-0000-000066160000}"/>
    <cellStyle name="Normal 4 6 3 2 6 2 2" xfId="15334" xr:uid="{2A743C35-3902-4FD5-AFCE-A1788F8B8615}"/>
    <cellStyle name="Normal 4 6 3 2 6 3" xfId="11121" xr:uid="{E816EF93-06F0-4815-9D92-4A1D890168AC}"/>
    <cellStyle name="Normal 4 6 3 2 7" xfId="4774" xr:uid="{00000000-0005-0000-0000-000067160000}"/>
    <cellStyle name="Normal 4 6 3 2 7 2" xfId="13269" xr:uid="{47335A41-CC43-4C1B-9849-95D44B2CCEFE}"/>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2 2 2" xfId="15826" xr:uid="{17A8EE9F-E5FC-46B4-83F0-13AF0D86E3F2}"/>
    <cellStyle name="Normal 4 6 3 3 2 3" xfId="11613" xr:uid="{641DD7D3-E58C-47B6-ACB4-F6D5BB1B0045}"/>
    <cellStyle name="Normal 4 6 3 3 3" xfId="5186" xr:uid="{00000000-0005-0000-0000-00006B160000}"/>
    <cellStyle name="Normal 4 6 3 3 3 2" xfId="13681" xr:uid="{575F4C64-F2BB-40C6-A997-43D817A66C02}"/>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2 2 2" xfId="16239" xr:uid="{96DBE618-B608-43CA-ABE8-3259443BCFF3}"/>
    <cellStyle name="Normal 4 6 3 4 2 3" xfId="12026" xr:uid="{6F2F473F-D0AC-40AC-B460-FCB6FAD6D946}"/>
    <cellStyle name="Normal 4 6 3 4 3" xfId="5599" xr:uid="{00000000-0005-0000-0000-00006F160000}"/>
    <cellStyle name="Normal 4 6 3 4 3 2" xfId="14094" xr:uid="{91B6F07C-F4D1-48F5-937A-CEDFAFFD85F9}"/>
    <cellStyle name="Normal 4 6 3 4 4" xfId="9881" xr:uid="{11D035C0-6E86-4D39-BE08-E70701BF78B8}"/>
    <cellStyle name="Normal 4 6 3 5" xfId="1705" xr:uid="{00000000-0005-0000-0000-000070160000}"/>
    <cellStyle name="Normal 4 6 3 5 2" xfId="3935" xr:uid="{00000000-0005-0000-0000-000071160000}"/>
    <cellStyle name="Normal 4 6 3 5 2 2" xfId="8157" xr:uid="{00000000-0005-0000-0000-000072160000}"/>
    <cellStyle name="Normal 4 6 3 5 2 2 2" xfId="16652" xr:uid="{8C0876F3-40C5-409B-9CAA-95F475C2A259}"/>
    <cellStyle name="Normal 4 6 3 5 2 3" xfId="12439" xr:uid="{912CA41F-37E3-4C62-A980-E519EF4BEF91}"/>
    <cellStyle name="Normal 4 6 3 5 3" xfId="6012" xr:uid="{00000000-0005-0000-0000-000073160000}"/>
    <cellStyle name="Normal 4 6 3 5 3 2" xfId="14507" xr:uid="{D9659836-6DFB-4F2D-AB77-9CE23430FE7D}"/>
    <cellStyle name="Normal 4 6 3 5 4" xfId="10294" xr:uid="{44BC913B-18BB-4984-B63A-7D8209388144}"/>
    <cellStyle name="Normal 4 6 3 6" xfId="2119" xr:uid="{00000000-0005-0000-0000-000074160000}"/>
    <cellStyle name="Normal 4 6 3 6 2" xfId="4348" xr:uid="{00000000-0005-0000-0000-000075160000}"/>
    <cellStyle name="Normal 4 6 3 6 2 2" xfId="8570" xr:uid="{00000000-0005-0000-0000-000076160000}"/>
    <cellStyle name="Normal 4 6 3 6 2 2 2" xfId="17065" xr:uid="{D5CF8554-8619-4855-B9F0-18E992A96080}"/>
    <cellStyle name="Normal 4 6 3 6 2 3" xfId="12852" xr:uid="{8C7BCCBF-0339-456E-913A-51B092E8A02C}"/>
    <cellStyle name="Normal 4 6 3 6 3" xfId="6425" xr:uid="{00000000-0005-0000-0000-000077160000}"/>
    <cellStyle name="Normal 4 6 3 6 3 2" xfId="14920" xr:uid="{5CD0B860-305A-4982-98DB-4692A75519CC}"/>
    <cellStyle name="Normal 4 6 3 6 4" xfId="10707" xr:uid="{726D4F7C-99D6-4FD2-8499-28C2F179AE4B}"/>
    <cellStyle name="Normal 4 6 3 7" xfId="2555" xr:uid="{00000000-0005-0000-0000-000078160000}"/>
    <cellStyle name="Normal 4 6 3 7 2" xfId="6838" xr:uid="{00000000-0005-0000-0000-000079160000}"/>
    <cellStyle name="Normal 4 6 3 7 2 2" xfId="15333" xr:uid="{809D4CC9-9251-43FA-AEA5-8FC1509B6D57}"/>
    <cellStyle name="Normal 4 6 3 7 3" xfId="11120" xr:uid="{B03C8EE6-16F2-42AD-80BE-EF340128A83F}"/>
    <cellStyle name="Normal 4 6 3 8" xfId="4773" xr:uid="{00000000-0005-0000-0000-00007A160000}"/>
    <cellStyle name="Normal 4 6 3 8 2" xfId="13268" xr:uid="{247A420B-A496-4C92-AC6D-132B6DCB5D23}"/>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828" xr:uid="{4D1A0972-3901-4E4A-A5EF-CE2DC27AA389}"/>
    <cellStyle name="Normal 4 6 4 2 2 3" xfId="11615" xr:uid="{0D650502-B6F7-488E-BD6D-A5CE9A584DB5}"/>
    <cellStyle name="Normal 4 6 4 2 3" xfId="5188" xr:uid="{00000000-0005-0000-0000-00007F160000}"/>
    <cellStyle name="Normal 4 6 4 2 3 2" xfId="13683" xr:uid="{6D28F88E-28A4-4B2C-AA99-F7CB75DDD72E}"/>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2 2 2" xfId="16241" xr:uid="{952E7721-9DC5-4F2D-9AD7-96EC8CF0172F}"/>
    <cellStyle name="Normal 4 6 4 3 2 3" xfId="12028" xr:uid="{702DDC03-10D2-41D1-8D43-F39C52997E4D}"/>
    <cellStyle name="Normal 4 6 4 3 3" xfId="5601" xr:uid="{00000000-0005-0000-0000-000083160000}"/>
    <cellStyle name="Normal 4 6 4 3 3 2" xfId="14096" xr:uid="{F59932F4-30D7-4D8E-80C8-8F7D8EA7CC67}"/>
    <cellStyle name="Normal 4 6 4 3 4" xfId="9883" xr:uid="{15990B44-8706-4119-B52C-38793D6430A3}"/>
    <cellStyle name="Normal 4 6 4 4" xfId="1707" xr:uid="{00000000-0005-0000-0000-000084160000}"/>
    <cellStyle name="Normal 4 6 4 4 2" xfId="3937" xr:uid="{00000000-0005-0000-0000-000085160000}"/>
    <cellStyle name="Normal 4 6 4 4 2 2" xfId="8159" xr:uid="{00000000-0005-0000-0000-000086160000}"/>
    <cellStyle name="Normal 4 6 4 4 2 2 2" xfId="16654" xr:uid="{6199CA0F-1559-40D8-9355-C133639266CB}"/>
    <cellStyle name="Normal 4 6 4 4 2 3" xfId="12441" xr:uid="{201575B8-27F0-425F-B93D-58FA98ABF74B}"/>
    <cellStyle name="Normal 4 6 4 4 3" xfId="6014" xr:uid="{00000000-0005-0000-0000-000087160000}"/>
    <cellStyle name="Normal 4 6 4 4 3 2" xfId="14509" xr:uid="{7B3F6234-3095-4528-A5C4-9FFA86634A39}"/>
    <cellStyle name="Normal 4 6 4 4 4" xfId="10296" xr:uid="{BE0C3A65-0613-403D-B609-94C9692F1E92}"/>
    <cellStyle name="Normal 4 6 4 5" xfId="2121" xr:uid="{00000000-0005-0000-0000-000088160000}"/>
    <cellStyle name="Normal 4 6 4 5 2" xfId="4350" xr:uid="{00000000-0005-0000-0000-000089160000}"/>
    <cellStyle name="Normal 4 6 4 5 2 2" xfId="8572" xr:uid="{00000000-0005-0000-0000-00008A160000}"/>
    <cellStyle name="Normal 4 6 4 5 2 2 2" xfId="17067" xr:uid="{E0B5E44A-13FC-4788-A40F-BF9C0B857106}"/>
    <cellStyle name="Normal 4 6 4 5 2 3" xfId="12854" xr:uid="{6F8DB47B-CA02-4A14-824A-3B0FB025BF28}"/>
    <cellStyle name="Normal 4 6 4 5 3" xfId="6427" xr:uid="{00000000-0005-0000-0000-00008B160000}"/>
    <cellStyle name="Normal 4 6 4 5 3 2" xfId="14922" xr:uid="{8DC32339-1A7E-41D9-B324-F21619DEA2CE}"/>
    <cellStyle name="Normal 4 6 4 5 4" xfId="10709" xr:uid="{6D6332A6-7383-4629-BFC3-7E061B087FE7}"/>
    <cellStyle name="Normal 4 6 4 6" xfId="2557" xr:uid="{00000000-0005-0000-0000-00008C160000}"/>
    <cellStyle name="Normal 4 6 4 6 2" xfId="6840" xr:uid="{00000000-0005-0000-0000-00008D160000}"/>
    <cellStyle name="Normal 4 6 4 6 2 2" xfId="15335" xr:uid="{F5B1F24A-2117-4F2D-9C62-946A24E73F3E}"/>
    <cellStyle name="Normal 4 6 4 6 3" xfId="11122" xr:uid="{C1591662-A345-4A6F-964B-69EBE037A525}"/>
    <cellStyle name="Normal 4 6 4 7" xfId="4775" xr:uid="{00000000-0005-0000-0000-00008E160000}"/>
    <cellStyle name="Normal 4 6 4 7 2" xfId="13270" xr:uid="{030124BB-6DE3-490B-A304-5F0A252A0088}"/>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2 2 2" xfId="15821" xr:uid="{FD6B3A8E-4DE3-4D4D-AA3D-B249DF2E67D3}"/>
    <cellStyle name="Normal 4 6 5 2 3" xfId="11608" xr:uid="{06334DFF-E1EC-4EB8-96B1-8BCC72F9C147}"/>
    <cellStyle name="Normal 4 6 5 3" xfId="5181" xr:uid="{00000000-0005-0000-0000-000092160000}"/>
    <cellStyle name="Normal 4 6 5 3 2" xfId="13676" xr:uid="{F1E2DBA0-4022-4492-9E56-C88621D229AD}"/>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2 2 2" xfId="16234" xr:uid="{385C3FF6-05CC-4AF4-97BC-AD14E9DA92A5}"/>
    <cellStyle name="Normal 4 6 6 2 3" xfId="12021" xr:uid="{1E500CEF-4C92-4EAD-B3BC-519355EBB577}"/>
    <cellStyle name="Normal 4 6 6 3" xfId="5594" xr:uid="{00000000-0005-0000-0000-000096160000}"/>
    <cellStyle name="Normal 4 6 6 3 2" xfId="14089" xr:uid="{20D37ED8-F7F1-4476-9E65-92BCDE29118F}"/>
    <cellStyle name="Normal 4 6 6 4" xfId="9876" xr:uid="{C9866744-DBD8-4FAE-AE99-1F34D62543A3}"/>
    <cellStyle name="Normal 4 6 7" xfId="1700" xr:uid="{00000000-0005-0000-0000-000097160000}"/>
    <cellStyle name="Normal 4 6 7 2" xfId="3930" xr:uid="{00000000-0005-0000-0000-000098160000}"/>
    <cellStyle name="Normal 4 6 7 2 2" xfId="8152" xr:uid="{00000000-0005-0000-0000-000099160000}"/>
    <cellStyle name="Normal 4 6 7 2 2 2" xfId="16647" xr:uid="{B977218F-6C75-499D-9469-565E40A24EA9}"/>
    <cellStyle name="Normal 4 6 7 2 3" xfId="12434" xr:uid="{960D835D-AE1F-45B6-927A-FAD35A8B3BBB}"/>
    <cellStyle name="Normal 4 6 7 3" xfId="6007" xr:uid="{00000000-0005-0000-0000-00009A160000}"/>
    <cellStyle name="Normal 4 6 7 3 2" xfId="14502" xr:uid="{7261995F-BD19-4FEE-B428-0C84765827BB}"/>
    <cellStyle name="Normal 4 6 7 4" xfId="10289" xr:uid="{4819AB80-7789-474F-BA29-4113D357CB5F}"/>
    <cellStyle name="Normal 4 6 8" xfId="2114" xr:uid="{00000000-0005-0000-0000-00009B160000}"/>
    <cellStyle name="Normal 4 6 8 2" xfId="4343" xr:uid="{00000000-0005-0000-0000-00009C160000}"/>
    <cellStyle name="Normal 4 6 8 2 2" xfId="8565" xr:uid="{00000000-0005-0000-0000-00009D160000}"/>
    <cellStyle name="Normal 4 6 8 2 2 2" xfId="17060" xr:uid="{407ED088-67FD-404F-9210-B1BF625DA0B5}"/>
    <cellStyle name="Normal 4 6 8 2 3" xfId="12847" xr:uid="{E1815398-575D-41F1-A597-1340250F8EFB}"/>
    <cellStyle name="Normal 4 6 8 3" xfId="6420" xr:uid="{00000000-0005-0000-0000-00009E160000}"/>
    <cellStyle name="Normal 4 6 8 3 2" xfId="14915" xr:uid="{0C68FAF5-FC62-4F8E-A48C-BD4036028DB5}"/>
    <cellStyle name="Normal 4 6 8 4" xfId="10702" xr:uid="{3B456B30-0845-4A77-B514-C2F72BA9FF66}"/>
    <cellStyle name="Normal 4 6 9" xfId="2550" xr:uid="{00000000-0005-0000-0000-00009F160000}"/>
    <cellStyle name="Normal 4 6 9 2" xfId="6833" xr:uid="{00000000-0005-0000-0000-0000A0160000}"/>
    <cellStyle name="Normal 4 6 9 2 2" xfId="15328" xr:uid="{8C01355F-0662-4984-BB40-C297286B385D}"/>
    <cellStyle name="Normal 4 6 9 3" xfId="11115" xr:uid="{DF9C0A1E-F165-43F3-A99B-1BBE0228ED8D}"/>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830" xr:uid="{04EEB48E-960C-4DB4-A69D-6C8482686E31}"/>
    <cellStyle name="Normal 4 7 2 2 2 3" xfId="11617" xr:uid="{A45F3CA9-2028-47A3-8A16-B6A48CA92825}"/>
    <cellStyle name="Normal 4 7 2 2 3" xfId="5190" xr:uid="{00000000-0005-0000-0000-0000A6160000}"/>
    <cellStyle name="Normal 4 7 2 2 3 2" xfId="13685" xr:uid="{0BD6A690-054C-4A0A-9E94-542867196216}"/>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2 2 2" xfId="16243" xr:uid="{935A3FA8-74BD-43A3-B3BF-EA17B2D6DD34}"/>
    <cellStyle name="Normal 4 7 2 3 2 3" xfId="12030" xr:uid="{2C56396B-E74C-4DD7-94F7-57C00B7D0AF3}"/>
    <cellStyle name="Normal 4 7 2 3 3" xfId="5603" xr:uid="{00000000-0005-0000-0000-0000AA160000}"/>
    <cellStyle name="Normal 4 7 2 3 3 2" xfId="14098" xr:uid="{FDDFDA3D-A707-4EEF-A6AF-090FDBD36352}"/>
    <cellStyle name="Normal 4 7 2 3 4" xfId="9885" xr:uid="{A1F225F9-686F-4400-9E0E-74078B746D6F}"/>
    <cellStyle name="Normal 4 7 2 4" xfId="1709" xr:uid="{00000000-0005-0000-0000-0000AB160000}"/>
    <cellStyle name="Normal 4 7 2 4 2" xfId="3939" xr:uid="{00000000-0005-0000-0000-0000AC160000}"/>
    <cellStyle name="Normal 4 7 2 4 2 2" xfId="8161" xr:uid="{00000000-0005-0000-0000-0000AD160000}"/>
    <cellStyle name="Normal 4 7 2 4 2 2 2" xfId="16656" xr:uid="{C54CB9EF-D7CB-4579-A61F-73265C636FE8}"/>
    <cellStyle name="Normal 4 7 2 4 2 3" xfId="12443" xr:uid="{157F725D-CB15-4E24-BCD7-DD4BBF03D60D}"/>
    <cellStyle name="Normal 4 7 2 4 3" xfId="6016" xr:uid="{00000000-0005-0000-0000-0000AE160000}"/>
    <cellStyle name="Normal 4 7 2 4 3 2" xfId="14511" xr:uid="{A5123C02-A3BE-4122-8BB2-3D5360CFB88C}"/>
    <cellStyle name="Normal 4 7 2 4 4" xfId="10298" xr:uid="{43FB8BE5-F2CB-4E30-83CD-73952A191B3E}"/>
    <cellStyle name="Normal 4 7 2 5" xfId="2123" xr:uid="{00000000-0005-0000-0000-0000AF160000}"/>
    <cellStyle name="Normal 4 7 2 5 2" xfId="4352" xr:uid="{00000000-0005-0000-0000-0000B0160000}"/>
    <cellStyle name="Normal 4 7 2 5 2 2" xfId="8574" xr:uid="{00000000-0005-0000-0000-0000B1160000}"/>
    <cellStyle name="Normal 4 7 2 5 2 2 2" xfId="17069" xr:uid="{6301048B-3CD6-4B61-928B-81DC6FBD433F}"/>
    <cellStyle name="Normal 4 7 2 5 2 3" xfId="12856" xr:uid="{D65E8DE1-370B-4155-B09A-38FDD727A9E7}"/>
    <cellStyle name="Normal 4 7 2 5 3" xfId="6429" xr:uid="{00000000-0005-0000-0000-0000B2160000}"/>
    <cellStyle name="Normal 4 7 2 5 3 2" xfId="14924" xr:uid="{194394C3-C41C-456D-A757-640C93313B4B}"/>
    <cellStyle name="Normal 4 7 2 5 4" xfId="10711" xr:uid="{2E8FAAA2-86E2-4A0E-9A86-DC8BC817E1E4}"/>
    <cellStyle name="Normal 4 7 2 6" xfId="2559" xr:uid="{00000000-0005-0000-0000-0000B3160000}"/>
    <cellStyle name="Normal 4 7 2 6 2" xfId="6842" xr:uid="{00000000-0005-0000-0000-0000B4160000}"/>
    <cellStyle name="Normal 4 7 2 6 2 2" xfId="15337" xr:uid="{869AB5D1-6D43-4322-8D88-E3C0C2E685C3}"/>
    <cellStyle name="Normal 4 7 2 6 3" xfId="11124" xr:uid="{D4682298-414A-46EC-9698-B8502D7C2A98}"/>
    <cellStyle name="Normal 4 7 2 7" xfId="4777" xr:uid="{00000000-0005-0000-0000-0000B5160000}"/>
    <cellStyle name="Normal 4 7 2 7 2" xfId="13272" xr:uid="{E6B40A69-07D7-4A1C-890F-8E71DE068C3A}"/>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2 2 2" xfId="15829" xr:uid="{2632AB25-ACD8-42DA-B736-5D9A95BE2ACA}"/>
    <cellStyle name="Normal 4 7 3 2 3" xfId="11616" xr:uid="{7F178FC8-5358-4FA1-821B-0A4A2A23D662}"/>
    <cellStyle name="Normal 4 7 3 3" xfId="5189" xr:uid="{00000000-0005-0000-0000-0000B9160000}"/>
    <cellStyle name="Normal 4 7 3 3 2" xfId="13684" xr:uid="{3C8B8569-A925-44CE-BD7A-B7A8A9787E6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2 2 2" xfId="16242" xr:uid="{665E31AF-27D3-4769-9D66-3281956D30EB}"/>
    <cellStyle name="Normal 4 7 4 2 3" xfId="12029" xr:uid="{C86DF3B5-376A-44A0-85E0-DF348D5F03A2}"/>
    <cellStyle name="Normal 4 7 4 3" xfId="5602" xr:uid="{00000000-0005-0000-0000-0000BD160000}"/>
    <cellStyle name="Normal 4 7 4 3 2" xfId="14097" xr:uid="{47D82DD6-D564-4DE7-9205-4547F56AF0C1}"/>
    <cellStyle name="Normal 4 7 4 4" xfId="9884" xr:uid="{5FB7DFE1-DBF6-454B-B8B1-C8CA6FAB68C0}"/>
    <cellStyle name="Normal 4 7 5" xfId="1708" xr:uid="{00000000-0005-0000-0000-0000BE160000}"/>
    <cellStyle name="Normal 4 7 5 2" xfId="3938" xr:uid="{00000000-0005-0000-0000-0000BF160000}"/>
    <cellStyle name="Normal 4 7 5 2 2" xfId="8160" xr:uid="{00000000-0005-0000-0000-0000C0160000}"/>
    <cellStyle name="Normal 4 7 5 2 2 2" xfId="16655" xr:uid="{CD303792-02E4-485D-A135-9DE59AA9FEF3}"/>
    <cellStyle name="Normal 4 7 5 2 3" xfId="12442" xr:uid="{C6590D4A-B4DB-4ADD-AC85-C525F5CE1B72}"/>
    <cellStyle name="Normal 4 7 5 3" xfId="6015" xr:uid="{00000000-0005-0000-0000-0000C1160000}"/>
    <cellStyle name="Normal 4 7 5 3 2" xfId="14510" xr:uid="{1ACEF2D5-2B03-491F-8B3C-4BDADD404DAF}"/>
    <cellStyle name="Normal 4 7 5 4" xfId="10297" xr:uid="{4FBDAB0B-1423-4613-B52B-29358C65D15A}"/>
    <cellStyle name="Normal 4 7 6" xfId="2122" xr:uid="{00000000-0005-0000-0000-0000C2160000}"/>
    <cellStyle name="Normal 4 7 6 2" xfId="4351" xr:uid="{00000000-0005-0000-0000-0000C3160000}"/>
    <cellStyle name="Normal 4 7 6 2 2" xfId="8573" xr:uid="{00000000-0005-0000-0000-0000C4160000}"/>
    <cellStyle name="Normal 4 7 6 2 2 2" xfId="17068" xr:uid="{19E4CBA7-D6F7-403E-8107-3AA1EEA1E165}"/>
    <cellStyle name="Normal 4 7 6 2 3" xfId="12855" xr:uid="{F84CAD44-ADAD-4A87-BA0F-F1C91E7F0C6D}"/>
    <cellStyle name="Normal 4 7 6 3" xfId="6428" xr:uid="{00000000-0005-0000-0000-0000C5160000}"/>
    <cellStyle name="Normal 4 7 6 3 2" xfId="14923" xr:uid="{FF67842A-D9A6-46DF-BFC3-E37C0BCC1E56}"/>
    <cellStyle name="Normal 4 7 6 4" xfId="10710" xr:uid="{B3AF12AF-FA52-4FBB-A491-CA8DE31924C8}"/>
    <cellStyle name="Normal 4 7 7" xfId="2558" xr:uid="{00000000-0005-0000-0000-0000C6160000}"/>
    <cellStyle name="Normal 4 7 7 2" xfId="6841" xr:uid="{00000000-0005-0000-0000-0000C7160000}"/>
    <cellStyle name="Normal 4 7 7 2 2" xfId="15336" xr:uid="{743CFDF7-E35A-4D1B-8BDE-286AA3B8C6C3}"/>
    <cellStyle name="Normal 4 7 7 3" xfId="11123" xr:uid="{19BC51AB-5916-4180-9173-9239478902AB}"/>
    <cellStyle name="Normal 4 7 8" xfId="4776" xr:uid="{00000000-0005-0000-0000-0000C8160000}"/>
    <cellStyle name="Normal 4 7 8 2" xfId="13271" xr:uid="{D7BF2FE4-41CE-4FEC-9FE6-8B1BA485D49E}"/>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831" xr:uid="{0DD68B52-06E8-491B-89E4-5CD9E1BE68FD}"/>
    <cellStyle name="Normal 4 8 2 2 3" xfId="11618" xr:uid="{0FA3EB66-9B8B-46C4-9275-E473C6B83268}"/>
    <cellStyle name="Normal 4 8 2 3" xfId="5191" xr:uid="{00000000-0005-0000-0000-0000CD160000}"/>
    <cellStyle name="Normal 4 8 2 3 2" xfId="13686" xr:uid="{723F7E39-85E3-4E27-9AE2-B5AFDC0F98EE}"/>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2 2 2" xfId="16244" xr:uid="{89B1FE34-65E7-4F1F-83D5-3E73499AB967}"/>
    <cellStyle name="Normal 4 8 3 2 3" xfId="12031" xr:uid="{C545C8D4-0B89-469D-B5C9-FF0A158FC200}"/>
    <cellStyle name="Normal 4 8 3 3" xfId="5604" xr:uid="{00000000-0005-0000-0000-0000D1160000}"/>
    <cellStyle name="Normal 4 8 3 3 2" xfId="14099" xr:uid="{BF4366D9-A979-4354-8A86-276BE4F44BCB}"/>
    <cellStyle name="Normal 4 8 3 4" xfId="9886" xr:uid="{E2FF3413-79B9-4F63-B956-7A88938093E8}"/>
    <cellStyle name="Normal 4 8 4" xfId="1710" xr:uid="{00000000-0005-0000-0000-0000D2160000}"/>
    <cellStyle name="Normal 4 8 4 2" xfId="3940" xr:uid="{00000000-0005-0000-0000-0000D3160000}"/>
    <cellStyle name="Normal 4 8 4 2 2" xfId="8162" xr:uid="{00000000-0005-0000-0000-0000D4160000}"/>
    <cellStyle name="Normal 4 8 4 2 2 2" xfId="16657" xr:uid="{D6C09ADA-861D-4B8D-A309-E6A6108217AE}"/>
    <cellStyle name="Normal 4 8 4 2 3" xfId="12444" xr:uid="{9D436C19-ED2C-4CDA-BCD6-26BBF5C9998A}"/>
    <cellStyle name="Normal 4 8 4 3" xfId="6017" xr:uid="{00000000-0005-0000-0000-0000D5160000}"/>
    <cellStyle name="Normal 4 8 4 3 2" xfId="14512" xr:uid="{11FC9140-D6EA-4FFE-966C-AFBB7CF63845}"/>
    <cellStyle name="Normal 4 8 4 4" xfId="10299" xr:uid="{E6E73C96-710D-450C-85DB-AC654BED2DAE}"/>
    <cellStyle name="Normal 4 8 5" xfId="2124" xr:uid="{00000000-0005-0000-0000-0000D6160000}"/>
    <cellStyle name="Normal 4 8 5 2" xfId="4353" xr:uid="{00000000-0005-0000-0000-0000D7160000}"/>
    <cellStyle name="Normal 4 8 5 2 2" xfId="8575" xr:uid="{00000000-0005-0000-0000-0000D8160000}"/>
    <cellStyle name="Normal 4 8 5 2 2 2" xfId="17070" xr:uid="{0B4B577F-2CA4-4730-869B-36CE7BD6D21D}"/>
    <cellStyle name="Normal 4 8 5 2 3" xfId="12857" xr:uid="{8728E0A8-3F08-4CB0-9B91-FFC59DA11E43}"/>
    <cellStyle name="Normal 4 8 5 3" xfId="6430" xr:uid="{00000000-0005-0000-0000-0000D9160000}"/>
    <cellStyle name="Normal 4 8 5 3 2" xfId="14925" xr:uid="{CB9201DE-38CF-4E6C-9F10-8DAD7ACF02A5}"/>
    <cellStyle name="Normal 4 8 5 4" xfId="10712" xr:uid="{1D4544A2-4142-41E3-BE7D-069D0D674553}"/>
    <cellStyle name="Normal 4 8 6" xfId="2560" xr:uid="{00000000-0005-0000-0000-0000DA160000}"/>
    <cellStyle name="Normal 4 8 6 2" xfId="6843" xr:uid="{00000000-0005-0000-0000-0000DB160000}"/>
    <cellStyle name="Normal 4 8 6 2 2" xfId="15338" xr:uid="{2DE9750B-1E54-45CD-A0D7-19FB8AA6DC56}"/>
    <cellStyle name="Normal 4 8 6 3" xfId="11125" xr:uid="{EC8030BF-4184-41D1-82C5-F9F23EA16CC3}"/>
    <cellStyle name="Normal 4 8 7" xfId="4778" xr:uid="{00000000-0005-0000-0000-0000DC160000}"/>
    <cellStyle name="Normal 4 8 7 2" xfId="13273" xr:uid="{9B30C139-384E-4246-800D-DAD1A3A046EF}"/>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58" xr:uid="{34F0A4C7-80EC-4DBF-91A4-C6DCAC7555DF}"/>
    <cellStyle name="Normal 5 10 2 3" xfId="12445" xr:uid="{3344D4D9-5C2C-45BE-B244-7CBF0EB973BB}"/>
    <cellStyle name="Normal 5 10 3" xfId="6018" xr:uid="{00000000-0005-0000-0000-0000E2160000}"/>
    <cellStyle name="Normal 5 10 3 2" xfId="14513" xr:uid="{90BC70AB-3964-4C01-9E59-CB0002F1110C}"/>
    <cellStyle name="Normal 5 10 4" xfId="10300" xr:uid="{1C20111F-1FCA-462A-B888-E94D46E2FC10}"/>
    <cellStyle name="Normal 5 11" xfId="2125" xr:uid="{00000000-0005-0000-0000-0000E3160000}"/>
    <cellStyle name="Normal 5 11 2" xfId="4354" xr:uid="{00000000-0005-0000-0000-0000E4160000}"/>
    <cellStyle name="Normal 5 11 2 2" xfId="8576" xr:uid="{00000000-0005-0000-0000-0000E5160000}"/>
    <cellStyle name="Normal 5 11 2 2 2" xfId="17071" xr:uid="{161A6389-051E-49EF-9B47-BD09EBFE4FB8}"/>
    <cellStyle name="Normal 5 11 2 3" xfId="12858" xr:uid="{5C9638D1-324B-4AFF-8AF6-9ACF3920D899}"/>
    <cellStyle name="Normal 5 11 3" xfId="6431" xr:uid="{00000000-0005-0000-0000-0000E6160000}"/>
    <cellStyle name="Normal 5 11 3 2" xfId="14926" xr:uid="{087C9291-D5CA-4120-834C-EAD0F8B64C23}"/>
    <cellStyle name="Normal 5 11 4" xfId="10713" xr:uid="{7197A760-11E1-41B8-9BB7-B40CAF0F13BD}"/>
    <cellStyle name="Normal 5 12" xfId="2561" xr:uid="{00000000-0005-0000-0000-0000E7160000}"/>
    <cellStyle name="Normal 5 12 2" xfId="6844" xr:uid="{00000000-0005-0000-0000-0000E8160000}"/>
    <cellStyle name="Normal 5 12 2 2" xfId="15339" xr:uid="{29AA84EC-2FD5-4B54-B5A6-EDE2D30E276E}"/>
    <cellStyle name="Normal 5 12 3" xfId="11126" xr:uid="{082849FC-4EAD-4789-9274-A8DD8B59FADE}"/>
    <cellStyle name="Normal 5 13" xfId="4779" xr:uid="{00000000-0005-0000-0000-0000E9160000}"/>
    <cellStyle name="Normal 5 13 2" xfId="13274" xr:uid="{79642E8C-A147-4FB7-9D9D-2EC36D86C971}"/>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72" xr:uid="{361F64FF-06D0-44CF-BF3F-42047884C19B}"/>
    <cellStyle name="Normal 5 2 10 2 3" xfId="12859" xr:uid="{04222DAB-9976-4CD0-BAF9-48F32E03FDD4}"/>
    <cellStyle name="Normal 5 2 10 3" xfId="6432" xr:uid="{00000000-0005-0000-0000-0000EE160000}"/>
    <cellStyle name="Normal 5 2 10 3 2" xfId="14927" xr:uid="{633B3E73-F612-46A9-9E8B-BEEF8204948D}"/>
    <cellStyle name="Normal 5 2 10 4" xfId="10714" xr:uid="{7865FAB6-9631-4B91-A016-47F7646EEAA4}"/>
    <cellStyle name="Normal 5 2 11" xfId="2562" xr:uid="{00000000-0005-0000-0000-0000EF160000}"/>
    <cellStyle name="Normal 5 2 11 2" xfId="6845" xr:uid="{00000000-0005-0000-0000-0000F0160000}"/>
    <cellStyle name="Normal 5 2 11 2 2" xfId="15340" xr:uid="{12C9F846-A74D-4481-8F65-2C221B7B5A9D}"/>
    <cellStyle name="Normal 5 2 11 3" xfId="11127" xr:uid="{446FF2CD-CEFA-4855-B2F0-ECE562EE5B95}"/>
    <cellStyle name="Normal 5 2 12" xfId="4780" xr:uid="{00000000-0005-0000-0000-0000F1160000}"/>
    <cellStyle name="Normal 5 2 12 2" xfId="13275" xr:uid="{72E6E291-1F6E-43CE-B535-3FF974259B0D}"/>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0 2 2" xfId="15341" xr:uid="{489074AE-FE83-47E1-8D8B-8ECDD289B65B}"/>
    <cellStyle name="Normal 5 2 2 10 3" xfId="11128" xr:uid="{FB188E9D-80E6-4EAD-9763-14A3859202E4}"/>
    <cellStyle name="Normal 5 2 2 11" xfId="4781" xr:uid="{00000000-0005-0000-0000-0000F5160000}"/>
    <cellStyle name="Normal 5 2 2 11 2" xfId="13276" xr:uid="{BA8DD81B-C12F-4D8A-90F1-6082CC819B6A}"/>
    <cellStyle name="Normal 5 2 2 12" xfId="8753" xr:uid="{96D04E2F-D92F-448D-9FDA-8261D8BEE094}"/>
    <cellStyle name="Normal 5 2 2 2" xfId="409" xr:uid="{00000000-0005-0000-0000-0000F6160000}"/>
    <cellStyle name="Normal 5 2 2 2 10" xfId="4782" xr:uid="{00000000-0005-0000-0000-0000F7160000}"/>
    <cellStyle name="Normal 5 2 2 2 10 2" xfId="13277" xr:uid="{D106E050-56E6-45D4-A938-C0F79B1FAA94}"/>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838" xr:uid="{547ECA47-1683-4DD7-936A-0C30071705F0}"/>
    <cellStyle name="Normal 5 2 2 2 2 2 2 2 2 3" xfId="11625" xr:uid="{E5673F99-056D-4457-9D9A-7FC5F220D7EF}"/>
    <cellStyle name="Normal 5 2 2 2 2 2 2 2 3" xfId="5198" xr:uid="{00000000-0005-0000-0000-0000FE160000}"/>
    <cellStyle name="Normal 5 2 2 2 2 2 2 2 3 2" xfId="13693" xr:uid="{069EB7E3-7AAC-4D79-B1BD-27E92EEE41DD}"/>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51" xr:uid="{54FCC208-26C0-4213-83A3-69079DC25DA2}"/>
    <cellStyle name="Normal 5 2 2 2 2 2 2 3 2 3" xfId="12038" xr:uid="{B7C9ACB4-5BA2-487E-A62F-7B3409913C33}"/>
    <cellStyle name="Normal 5 2 2 2 2 2 2 3 3" xfId="5611" xr:uid="{00000000-0005-0000-0000-000002170000}"/>
    <cellStyle name="Normal 5 2 2 2 2 2 2 3 3 2" xfId="14106" xr:uid="{F4F21396-54CD-4B1F-BF99-60C0DF37BECA}"/>
    <cellStyle name="Normal 5 2 2 2 2 2 2 3 4" xfId="9893" xr:uid="{FF7CBC14-7853-488A-BD56-FDBDC7963F3C}"/>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64" xr:uid="{8D33C026-31DE-402A-B4DB-E73B3C72F4A2}"/>
    <cellStyle name="Normal 5 2 2 2 2 2 2 4 2 3" xfId="12451" xr:uid="{6729324A-6894-4E2E-8430-3311B3B2BE3D}"/>
    <cellStyle name="Normal 5 2 2 2 2 2 2 4 3" xfId="6024" xr:uid="{00000000-0005-0000-0000-000006170000}"/>
    <cellStyle name="Normal 5 2 2 2 2 2 2 4 3 2" xfId="14519" xr:uid="{923A2CE3-801F-49C9-BE33-82583BF39ED6}"/>
    <cellStyle name="Normal 5 2 2 2 2 2 2 4 4" xfId="10306" xr:uid="{89A99149-F94A-49F1-8C9C-28E77536E2CD}"/>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77" xr:uid="{F1CCEE9C-76E0-4D47-9E79-E4A124E05F14}"/>
    <cellStyle name="Normal 5 2 2 2 2 2 2 5 2 3" xfId="12864" xr:uid="{F02D1FBE-974B-4FCE-BA88-0396CBA544B3}"/>
    <cellStyle name="Normal 5 2 2 2 2 2 2 5 3" xfId="6437" xr:uid="{00000000-0005-0000-0000-00000A170000}"/>
    <cellStyle name="Normal 5 2 2 2 2 2 2 5 3 2" xfId="14932" xr:uid="{BA5A1368-2A97-47B3-8C0F-FBDE44359100}"/>
    <cellStyle name="Normal 5 2 2 2 2 2 2 5 4" xfId="10719" xr:uid="{585E784D-6089-47C4-B256-166B2DBA37A8}"/>
    <cellStyle name="Normal 5 2 2 2 2 2 2 6" xfId="2567" xr:uid="{00000000-0005-0000-0000-00000B170000}"/>
    <cellStyle name="Normal 5 2 2 2 2 2 2 6 2" xfId="6850" xr:uid="{00000000-0005-0000-0000-00000C170000}"/>
    <cellStyle name="Normal 5 2 2 2 2 2 2 6 2 2" xfId="15345" xr:uid="{8A373F17-966A-45A8-AD8D-2A9787E80D08}"/>
    <cellStyle name="Normal 5 2 2 2 2 2 2 6 3" xfId="11132" xr:uid="{361C910F-0BC0-428B-A782-550A0108D8D5}"/>
    <cellStyle name="Normal 5 2 2 2 2 2 2 7" xfId="4785" xr:uid="{00000000-0005-0000-0000-00000D170000}"/>
    <cellStyle name="Normal 5 2 2 2 2 2 2 7 2" xfId="13280" xr:uid="{16CFC0AF-622F-44A8-89D0-4073780DB9BF}"/>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837" xr:uid="{9E753F7C-2A8D-479F-9287-CD13A765FA82}"/>
    <cellStyle name="Normal 5 2 2 2 2 2 3 2 3" xfId="11624" xr:uid="{97E38A0A-85A7-465E-A7C9-075080B2D405}"/>
    <cellStyle name="Normal 5 2 2 2 2 2 3 3" xfId="5197" xr:uid="{00000000-0005-0000-0000-000011170000}"/>
    <cellStyle name="Normal 5 2 2 2 2 2 3 3 2" xfId="13692" xr:uid="{36A27D5F-F029-443B-BB23-2F913FBC3CCD}"/>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50" xr:uid="{FF4DBD46-DA23-4566-BE53-35A58600977E}"/>
    <cellStyle name="Normal 5 2 2 2 2 2 4 2 3" xfId="12037" xr:uid="{2A894F20-9C66-48E4-B723-AD60E108B058}"/>
    <cellStyle name="Normal 5 2 2 2 2 2 4 3" xfId="5610" xr:uid="{00000000-0005-0000-0000-000015170000}"/>
    <cellStyle name="Normal 5 2 2 2 2 2 4 3 2" xfId="14105" xr:uid="{DD27CC03-9910-460E-8BB4-951987CF7F30}"/>
    <cellStyle name="Normal 5 2 2 2 2 2 4 4" xfId="9892" xr:uid="{79A07354-B89A-4C32-9C76-F5279DE7C75F}"/>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63" xr:uid="{277111F8-9584-4A46-A275-3801A612642F}"/>
    <cellStyle name="Normal 5 2 2 2 2 2 5 2 3" xfId="12450" xr:uid="{80094A1B-B5C6-457C-ADAD-4274903187C2}"/>
    <cellStyle name="Normal 5 2 2 2 2 2 5 3" xfId="6023" xr:uid="{00000000-0005-0000-0000-000019170000}"/>
    <cellStyle name="Normal 5 2 2 2 2 2 5 3 2" xfId="14518" xr:uid="{18F4F423-CC75-4639-BC76-0AD36562BF89}"/>
    <cellStyle name="Normal 5 2 2 2 2 2 5 4" xfId="10305" xr:uid="{A204F0B7-8DBF-4944-8A3C-E36983D2F7E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76" xr:uid="{B7363287-949C-46CA-A79D-20D6E0E8186B}"/>
    <cellStyle name="Normal 5 2 2 2 2 2 6 2 3" xfId="12863" xr:uid="{3C1A0361-E981-4D8D-B07F-14C6401289C6}"/>
    <cellStyle name="Normal 5 2 2 2 2 2 6 3" xfId="6436" xr:uid="{00000000-0005-0000-0000-00001D170000}"/>
    <cellStyle name="Normal 5 2 2 2 2 2 6 3 2" xfId="14931" xr:uid="{366E93EA-24AB-4A0D-A15C-795A5163586C}"/>
    <cellStyle name="Normal 5 2 2 2 2 2 6 4" xfId="10718" xr:uid="{7C0EE8B0-A502-4F4B-B6DE-985DC52C936D}"/>
    <cellStyle name="Normal 5 2 2 2 2 2 7" xfId="2566" xr:uid="{00000000-0005-0000-0000-00001E170000}"/>
    <cellStyle name="Normal 5 2 2 2 2 2 7 2" xfId="6849" xr:uid="{00000000-0005-0000-0000-00001F170000}"/>
    <cellStyle name="Normal 5 2 2 2 2 2 7 2 2" xfId="15344" xr:uid="{06384515-A1EE-46C4-A24E-433DD5D7C55E}"/>
    <cellStyle name="Normal 5 2 2 2 2 2 7 3" xfId="11131" xr:uid="{86795883-8988-4989-BA4E-277B9634A091}"/>
    <cellStyle name="Normal 5 2 2 2 2 2 8" xfId="4784" xr:uid="{00000000-0005-0000-0000-000020170000}"/>
    <cellStyle name="Normal 5 2 2 2 2 2 8 2" xfId="13279" xr:uid="{8FCCECEB-2BA2-4196-B38A-AA0865FD2573}"/>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839" xr:uid="{CE828403-A925-469A-9D6C-756CF4E30E00}"/>
    <cellStyle name="Normal 5 2 2 2 2 3 2 2 3" xfId="11626" xr:uid="{40F25FFF-E0CB-4F8E-B27E-0EE21167ECDF}"/>
    <cellStyle name="Normal 5 2 2 2 2 3 2 3" xfId="5199" xr:uid="{00000000-0005-0000-0000-000025170000}"/>
    <cellStyle name="Normal 5 2 2 2 2 3 2 3 2" xfId="13694" xr:uid="{2C32D803-6292-4C77-868B-83A269DAFE57}"/>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52" xr:uid="{28D8C4EE-1942-4724-B385-9D44F09B4BBF}"/>
    <cellStyle name="Normal 5 2 2 2 2 3 3 2 3" xfId="12039" xr:uid="{59E425AF-1E02-40F6-9F3E-4ED54947F3AA}"/>
    <cellStyle name="Normal 5 2 2 2 2 3 3 3" xfId="5612" xr:uid="{00000000-0005-0000-0000-000029170000}"/>
    <cellStyle name="Normal 5 2 2 2 2 3 3 3 2" xfId="14107" xr:uid="{F5D5BDC4-F922-4468-BDDC-D69065B06ED9}"/>
    <cellStyle name="Normal 5 2 2 2 2 3 3 4" xfId="9894" xr:uid="{4B314131-1A8D-4A48-9EC6-B3D6F204E643}"/>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65" xr:uid="{8C635C3C-2711-4F39-953A-FA06AAFF275C}"/>
    <cellStyle name="Normal 5 2 2 2 2 3 4 2 3" xfId="12452" xr:uid="{4DC929EB-1BC2-4C4C-9B96-A2E3C4D43B41}"/>
    <cellStyle name="Normal 5 2 2 2 2 3 4 3" xfId="6025" xr:uid="{00000000-0005-0000-0000-00002D170000}"/>
    <cellStyle name="Normal 5 2 2 2 2 3 4 3 2" xfId="14520" xr:uid="{2D513D73-A608-4C13-A0F0-902A67129324}"/>
    <cellStyle name="Normal 5 2 2 2 2 3 4 4" xfId="10307" xr:uid="{896C48CE-4E44-4714-907B-F3F4917C66D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78" xr:uid="{DA610F71-E66F-41F1-8EF7-F7F5C38B9EAE}"/>
    <cellStyle name="Normal 5 2 2 2 2 3 5 2 3" xfId="12865" xr:uid="{0E436F92-2D41-4934-8ED1-C437A6DD2F78}"/>
    <cellStyle name="Normal 5 2 2 2 2 3 5 3" xfId="6438" xr:uid="{00000000-0005-0000-0000-000031170000}"/>
    <cellStyle name="Normal 5 2 2 2 2 3 5 3 2" xfId="14933" xr:uid="{C1CBFFC6-1B6E-40AD-98FE-4B561C67F1F8}"/>
    <cellStyle name="Normal 5 2 2 2 2 3 5 4" xfId="10720" xr:uid="{56136B52-F32B-425C-9B0B-26D2E0DBB301}"/>
    <cellStyle name="Normal 5 2 2 2 2 3 6" xfId="2568" xr:uid="{00000000-0005-0000-0000-000032170000}"/>
    <cellStyle name="Normal 5 2 2 2 2 3 6 2" xfId="6851" xr:uid="{00000000-0005-0000-0000-000033170000}"/>
    <cellStyle name="Normal 5 2 2 2 2 3 6 2 2" xfId="15346" xr:uid="{14C27FA4-7D10-487F-819F-65D8151BC77E}"/>
    <cellStyle name="Normal 5 2 2 2 2 3 6 3" xfId="11133" xr:uid="{C50DC819-9F33-41E2-8CB4-F74D39E4FEF8}"/>
    <cellStyle name="Normal 5 2 2 2 2 3 7" xfId="4786" xr:uid="{00000000-0005-0000-0000-000034170000}"/>
    <cellStyle name="Normal 5 2 2 2 2 3 7 2" xfId="13281" xr:uid="{EF869F7A-A1D8-4ADD-A8E1-3E3DD032B599}"/>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836" xr:uid="{514B8FEA-F0B0-498F-99B0-E9ADB54320A3}"/>
    <cellStyle name="Normal 5 2 2 2 2 4 2 3" xfId="11623" xr:uid="{00D34ED9-A1A0-4367-AD8F-6F290E7B7440}"/>
    <cellStyle name="Normal 5 2 2 2 2 4 3" xfId="5196" xr:uid="{00000000-0005-0000-0000-000038170000}"/>
    <cellStyle name="Normal 5 2 2 2 2 4 3 2" xfId="13691" xr:uid="{D999D04D-A63B-41A4-AE06-70F5CF2ADA41}"/>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49" xr:uid="{457E80BA-A3C6-4A76-90CB-B42E195D9378}"/>
    <cellStyle name="Normal 5 2 2 2 2 5 2 3" xfId="12036" xr:uid="{3F320430-A4C9-4A7C-8192-8BD90D131BE4}"/>
    <cellStyle name="Normal 5 2 2 2 2 5 3" xfId="5609" xr:uid="{00000000-0005-0000-0000-00003C170000}"/>
    <cellStyle name="Normal 5 2 2 2 2 5 3 2" xfId="14104" xr:uid="{AE6B8B94-BB6D-460D-BF11-83A85FA23578}"/>
    <cellStyle name="Normal 5 2 2 2 2 5 4" xfId="9891" xr:uid="{BCE2F4C9-9AD2-421C-A197-4A947649AC42}"/>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62" xr:uid="{D6A7AA16-B85A-4CBC-BE5B-8D42888695BC}"/>
    <cellStyle name="Normal 5 2 2 2 2 6 2 3" xfId="12449" xr:uid="{71FAFC1B-882C-4DB7-B35B-CF7C1E2CD0D3}"/>
    <cellStyle name="Normal 5 2 2 2 2 6 3" xfId="6022" xr:uid="{00000000-0005-0000-0000-000040170000}"/>
    <cellStyle name="Normal 5 2 2 2 2 6 3 2" xfId="14517" xr:uid="{DF0E9E32-EDFD-4976-A777-FBA07CEFC529}"/>
    <cellStyle name="Normal 5 2 2 2 2 6 4" xfId="10304" xr:uid="{0C5FFD88-A8D7-4187-9043-2BF03C82AAFA}"/>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75" xr:uid="{D0815203-7B35-4984-B4E0-C8DF8B227815}"/>
    <cellStyle name="Normal 5 2 2 2 2 7 2 3" xfId="12862" xr:uid="{A703D450-3604-4AFB-866C-F7D3FE3FF3D9}"/>
    <cellStyle name="Normal 5 2 2 2 2 7 3" xfId="6435" xr:uid="{00000000-0005-0000-0000-000044170000}"/>
    <cellStyle name="Normal 5 2 2 2 2 7 3 2" xfId="14930" xr:uid="{2E9403BF-8D8B-427E-9D3D-87B7BCEB33E2}"/>
    <cellStyle name="Normal 5 2 2 2 2 7 4" xfId="10717" xr:uid="{05B3A17C-083A-4909-97DA-177753C7E67E}"/>
    <cellStyle name="Normal 5 2 2 2 2 8" xfId="2565" xr:uid="{00000000-0005-0000-0000-000045170000}"/>
    <cellStyle name="Normal 5 2 2 2 2 8 2" xfId="6848" xr:uid="{00000000-0005-0000-0000-000046170000}"/>
    <cellStyle name="Normal 5 2 2 2 2 8 2 2" xfId="15343" xr:uid="{0A597674-A037-42CF-9DA5-843CE1A5B004}"/>
    <cellStyle name="Normal 5 2 2 2 2 8 3" xfId="11130" xr:uid="{ABB1DE47-A513-4563-9107-983DA74F5571}"/>
    <cellStyle name="Normal 5 2 2 2 2 9" xfId="4783" xr:uid="{00000000-0005-0000-0000-000047170000}"/>
    <cellStyle name="Normal 5 2 2 2 2 9 2" xfId="13278" xr:uid="{E2FF4EEC-4F6C-4FEB-991E-0AF60413FA24}"/>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841" xr:uid="{50DC33BA-7565-4433-9401-3E5C432248FD}"/>
    <cellStyle name="Normal 5 2 2 2 3 2 2 2 3" xfId="11628" xr:uid="{BCF47928-86A6-477B-99D7-EFCB98CA1678}"/>
    <cellStyle name="Normal 5 2 2 2 3 2 2 3" xfId="5201" xr:uid="{00000000-0005-0000-0000-00004D170000}"/>
    <cellStyle name="Normal 5 2 2 2 3 2 2 3 2" xfId="13696" xr:uid="{3013BC01-5BF8-4B64-B694-3DADF5F9399B}"/>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54" xr:uid="{75D9F68A-335E-45C9-A937-C522E7DCFD93}"/>
    <cellStyle name="Normal 5 2 2 2 3 2 3 2 3" xfId="12041" xr:uid="{BCB89F4A-126F-454F-BCC7-202F2E5FA5CE}"/>
    <cellStyle name="Normal 5 2 2 2 3 2 3 3" xfId="5614" xr:uid="{00000000-0005-0000-0000-000051170000}"/>
    <cellStyle name="Normal 5 2 2 2 3 2 3 3 2" xfId="14109" xr:uid="{6720EDB5-5D52-4306-86C0-32E54C7CDE8A}"/>
    <cellStyle name="Normal 5 2 2 2 3 2 3 4" xfId="9896" xr:uid="{88BEE166-2F09-46D7-9F1E-A8E6A8C1D6B2}"/>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67" xr:uid="{3FE724C5-2630-4445-B894-7413DC2B83EC}"/>
    <cellStyle name="Normal 5 2 2 2 3 2 4 2 3" xfId="12454" xr:uid="{9D546F91-3CCD-4C7E-B651-6E9D025E83A1}"/>
    <cellStyle name="Normal 5 2 2 2 3 2 4 3" xfId="6027" xr:uid="{00000000-0005-0000-0000-000055170000}"/>
    <cellStyle name="Normal 5 2 2 2 3 2 4 3 2" xfId="14522" xr:uid="{5E1EC725-8225-4B05-81CD-DA6564C123E5}"/>
    <cellStyle name="Normal 5 2 2 2 3 2 4 4" xfId="10309" xr:uid="{18684D59-1760-4234-A755-66E7EF0857E7}"/>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80" xr:uid="{27C019B3-3BFE-49A1-A890-392D7C334DA6}"/>
    <cellStyle name="Normal 5 2 2 2 3 2 5 2 3" xfId="12867" xr:uid="{4B42F950-DFD8-4D89-9C04-41927FF70CC6}"/>
    <cellStyle name="Normal 5 2 2 2 3 2 5 3" xfId="6440" xr:uid="{00000000-0005-0000-0000-000059170000}"/>
    <cellStyle name="Normal 5 2 2 2 3 2 5 3 2" xfId="14935" xr:uid="{1C322E6E-9F0B-4A8E-B75D-757539387EF7}"/>
    <cellStyle name="Normal 5 2 2 2 3 2 5 4" xfId="10722" xr:uid="{9103C3F5-5DA4-4243-842B-661B8A39F790}"/>
    <cellStyle name="Normal 5 2 2 2 3 2 6" xfId="2570" xr:uid="{00000000-0005-0000-0000-00005A170000}"/>
    <cellStyle name="Normal 5 2 2 2 3 2 6 2" xfId="6853" xr:uid="{00000000-0005-0000-0000-00005B170000}"/>
    <cellStyle name="Normal 5 2 2 2 3 2 6 2 2" xfId="15348" xr:uid="{30902F46-F1E4-44DC-99EE-B94E55742C5E}"/>
    <cellStyle name="Normal 5 2 2 2 3 2 6 3" xfId="11135" xr:uid="{3AC13BA1-1214-483E-B6C6-2EB0707DA8C5}"/>
    <cellStyle name="Normal 5 2 2 2 3 2 7" xfId="4788" xr:uid="{00000000-0005-0000-0000-00005C170000}"/>
    <cellStyle name="Normal 5 2 2 2 3 2 7 2" xfId="13283" xr:uid="{4FB61B73-F3AA-48B6-B363-60B6F8660A55}"/>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840" xr:uid="{44454B64-B101-4B64-8459-985683D4317F}"/>
    <cellStyle name="Normal 5 2 2 2 3 3 2 3" xfId="11627" xr:uid="{DD3985B6-B263-43B0-A6A5-CFC4059875A5}"/>
    <cellStyle name="Normal 5 2 2 2 3 3 3" xfId="5200" xr:uid="{00000000-0005-0000-0000-000060170000}"/>
    <cellStyle name="Normal 5 2 2 2 3 3 3 2" xfId="13695" xr:uid="{DCF2B5F0-FDE4-4314-94ED-2A22E58E2F83}"/>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53" xr:uid="{2E1EE03B-EFD4-4BAB-A87E-285A7E444E67}"/>
    <cellStyle name="Normal 5 2 2 2 3 4 2 3" xfId="12040" xr:uid="{8EEF64F9-D90D-41D9-AFFB-B7979495C1DD}"/>
    <cellStyle name="Normal 5 2 2 2 3 4 3" xfId="5613" xr:uid="{00000000-0005-0000-0000-000064170000}"/>
    <cellStyle name="Normal 5 2 2 2 3 4 3 2" xfId="14108" xr:uid="{F4B7789A-FFEE-4416-9B03-1F61F1AFC540}"/>
    <cellStyle name="Normal 5 2 2 2 3 4 4" xfId="9895" xr:uid="{81EDB6F8-9C35-4A77-A192-9DD46E6FA29A}"/>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66" xr:uid="{C9B4794C-88F6-4A55-9BE1-65D7A1C0EB2B}"/>
    <cellStyle name="Normal 5 2 2 2 3 5 2 3" xfId="12453" xr:uid="{6E7C709F-47F7-45A1-A198-CE56821BDBB9}"/>
    <cellStyle name="Normal 5 2 2 2 3 5 3" xfId="6026" xr:uid="{00000000-0005-0000-0000-000068170000}"/>
    <cellStyle name="Normal 5 2 2 2 3 5 3 2" xfId="14521" xr:uid="{8B45A36B-972D-4223-BAE7-3339A65642B1}"/>
    <cellStyle name="Normal 5 2 2 2 3 5 4" xfId="10308" xr:uid="{6769799A-ABBA-4E13-9CC0-AFC57A9F6DE1}"/>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79" xr:uid="{E58BAF6E-D099-4359-BF5D-A141199D3850}"/>
    <cellStyle name="Normal 5 2 2 2 3 6 2 3" xfId="12866" xr:uid="{353A4034-1419-482C-BD2F-86BD1B2DBCCE}"/>
    <cellStyle name="Normal 5 2 2 2 3 6 3" xfId="6439" xr:uid="{00000000-0005-0000-0000-00006C170000}"/>
    <cellStyle name="Normal 5 2 2 2 3 6 3 2" xfId="14934" xr:uid="{96305800-E83B-4131-9C3E-97609F9B8EB6}"/>
    <cellStyle name="Normal 5 2 2 2 3 6 4" xfId="10721" xr:uid="{43B35771-ADF1-4A06-A927-1AC4AAB9E40B}"/>
    <cellStyle name="Normal 5 2 2 2 3 7" xfId="2569" xr:uid="{00000000-0005-0000-0000-00006D170000}"/>
    <cellStyle name="Normal 5 2 2 2 3 7 2" xfId="6852" xr:uid="{00000000-0005-0000-0000-00006E170000}"/>
    <cellStyle name="Normal 5 2 2 2 3 7 2 2" xfId="15347" xr:uid="{29552360-BA00-4244-94F8-69A3233E0117}"/>
    <cellStyle name="Normal 5 2 2 2 3 7 3" xfId="11134" xr:uid="{22FE26E6-DD95-4CB1-B298-76A6B25406E8}"/>
    <cellStyle name="Normal 5 2 2 2 3 8" xfId="4787" xr:uid="{00000000-0005-0000-0000-00006F170000}"/>
    <cellStyle name="Normal 5 2 2 2 3 8 2" xfId="13282" xr:uid="{3760B49C-2132-4B6A-8CE2-CF9631392C8A}"/>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842" xr:uid="{C2DE0F56-1FED-4CB8-A74D-1BB3D5783617}"/>
    <cellStyle name="Normal 5 2 2 2 4 2 2 3" xfId="11629" xr:uid="{C134A969-90F2-4937-88F4-CB13377C3050}"/>
    <cellStyle name="Normal 5 2 2 2 4 2 3" xfId="5202" xr:uid="{00000000-0005-0000-0000-000074170000}"/>
    <cellStyle name="Normal 5 2 2 2 4 2 3 2" xfId="13697" xr:uid="{A7311BE6-001C-4F57-95B4-22E68EEABC31}"/>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55" xr:uid="{038947F2-0373-4887-AA69-7D4CCA6758AB}"/>
    <cellStyle name="Normal 5 2 2 2 4 3 2 3" xfId="12042" xr:uid="{932162D8-8E64-4C71-A389-6A4ABB410490}"/>
    <cellStyle name="Normal 5 2 2 2 4 3 3" xfId="5615" xr:uid="{00000000-0005-0000-0000-000078170000}"/>
    <cellStyle name="Normal 5 2 2 2 4 3 3 2" xfId="14110" xr:uid="{F2001730-6E82-4650-92F4-88AB0AEA7717}"/>
    <cellStyle name="Normal 5 2 2 2 4 3 4" xfId="9897" xr:uid="{83850C08-5EC9-4E68-B246-2B7641C8401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68" xr:uid="{E45E47CE-1AEE-4854-BAA8-8E7D0D57AAF1}"/>
    <cellStyle name="Normal 5 2 2 2 4 4 2 3" xfId="12455" xr:uid="{AD6905FB-610D-4D40-9134-FDBD232A71B5}"/>
    <cellStyle name="Normal 5 2 2 2 4 4 3" xfId="6028" xr:uid="{00000000-0005-0000-0000-00007C170000}"/>
    <cellStyle name="Normal 5 2 2 2 4 4 3 2" xfId="14523" xr:uid="{DF0D7DE4-5369-44C9-A0ED-D9D7060536AD}"/>
    <cellStyle name="Normal 5 2 2 2 4 4 4" xfId="10310" xr:uid="{11E51010-35DB-4EF4-AD8E-2E2F493D0936}"/>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81" xr:uid="{220DD849-0DF8-4E94-A6BA-68CEB991F3F0}"/>
    <cellStyle name="Normal 5 2 2 2 4 5 2 3" xfId="12868" xr:uid="{F0F7E04E-189D-46F6-A064-A89F6E7CB02B}"/>
    <cellStyle name="Normal 5 2 2 2 4 5 3" xfId="6441" xr:uid="{00000000-0005-0000-0000-000080170000}"/>
    <cellStyle name="Normal 5 2 2 2 4 5 3 2" xfId="14936" xr:uid="{B702B719-D284-4B96-9F26-3752F5750550}"/>
    <cellStyle name="Normal 5 2 2 2 4 5 4" xfId="10723" xr:uid="{C0CB1AA2-9398-4BF9-95C5-B4FE1A6BB544}"/>
    <cellStyle name="Normal 5 2 2 2 4 6" xfId="2571" xr:uid="{00000000-0005-0000-0000-000081170000}"/>
    <cellStyle name="Normal 5 2 2 2 4 6 2" xfId="6854" xr:uid="{00000000-0005-0000-0000-000082170000}"/>
    <cellStyle name="Normal 5 2 2 2 4 6 2 2" xfId="15349" xr:uid="{E5FCAD7E-4213-467D-BDF3-0B86A30FA162}"/>
    <cellStyle name="Normal 5 2 2 2 4 6 3" xfId="11136" xr:uid="{3E292E79-CCCD-46EB-83A5-5FCED6131C7F}"/>
    <cellStyle name="Normal 5 2 2 2 4 7" xfId="4789" xr:uid="{00000000-0005-0000-0000-000083170000}"/>
    <cellStyle name="Normal 5 2 2 2 4 7 2" xfId="13284" xr:uid="{9AD30596-9C48-422A-ACA4-6A4A4CD229E2}"/>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835" xr:uid="{5F353B73-04A2-46F8-94C5-68895F349676}"/>
    <cellStyle name="Normal 5 2 2 2 5 2 3" xfId="11622" xr:uid="{A7FAD699-67C4-409B-9F86-78A0A642346F}"/>
    <cellStyle name="Normal 5 2 2 2 5 3" xfId="5195" xr:uid="{00000000-0005-0000-0000-000087170000}"/>
    <cellStyle name="Normal 5 2 2 2 5 3 2" xfId="13690" xr:uid="{90B3923C-9CCA-4A6F-92C1-ED293A2D680D}"/>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48" xr:uid="{858890C8-F8DA-4A95-A363-57B2763981AD}"/>
    <cellStyle name="Normal 5 2 2 2 6 2 3" xfId="12035" xr:uid="{546B6FAF-37FA-4928-9D9E-E2752944B38A}"/>
    <cellStyle name="Normal 5 2 2 2 6 3" xfId="5608" xr:uid="{00000000-0005-0000-0000-00008B170000}"/>
    <cellStyle name="Normal 5 2 2 2 6 3 2" xfId="14103" xr:uid="{09581846-C8BD-4917-ACCC-670A789F1998}"/>
    <cellStyle name="Normal 5 2 2 2 6 4" xfId="9890" xr:uid="{04A45A8C-37B4-4706-A815-32C873C1B24A}"/>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61" xr:uid="{1093C2DD-A080-4373-8CDA-FA506E25FEFA}"/>
    <cellStyle name="Normal 5 2 2 2 7 2 3" xfId="12448" xr:uid="{63F18894-1476-4781-BD32-C555074BB84A}"/>
    <cellStyle name="Normal 5 2 2 2 7 3" xfId="6021" xr:uid="{00000000-0005-0000-0000-00008F170000}"/>
    <cellStyle name="Normal 5 2 2 2 7 3 2" xfId="14516" xr:uid="{7CA1D964-2F84-4CE1-BC0D-15D37A83D8FC}"/>
    <cellStyle name="Normal 5 2 2 2 7 4" xfId="10303" xr:uid="{A58E2E79-5950-4BBD-9C3C-80CD6FFAAD36}"/>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74" xr:uid="{FF13DEE9-B06A-4FB0-B2B5-27418395C6C0}"/>
    <cellStyle name="Normal 5 2 2 2 8 2 3" xfId="12861" xr:uid="{AA961C54-A426-4D6A-9E88-C78E8917933E}"/>
    <cellStyle name="Normal 5 2 2 2 8 3" xfId="6434" xr:uid="{00000000-0005-0000-0000-000093170000}"/>
    <cellStyle name="Normal 5 2 2 2 8 3 2" xfId="14929" xr:uid="{1BC8AB3E-737A-4A30-92F3-210D1DE58544}"/>
    <cellStyle name="Normal 5 2 2 2 8 4" xfId="10716" xr:uid="{F9569A70-25A3-418E-9C98-25B02F044BE6}"/>
    <cellStyle name="Normal 5 2 2 2 9" xfId="2564" xr:uid="{00000000-0005-0000-0000-000094170000}"/>
    <cellStyle name="Normal 5 2 2 2 9 2" xfId="6847" xr:uid="{00000000-0005-0000-0000-000095170000}"/>
    <cellStyle name="Normal 5 2 2 2 9 2 2" xfId="15342" xr:uid="{F441969B-B049-4271-A84B-960F8FFE057E}"/>
    <cellStyle name="Normal 5 2 2 2 9 3" xfId="11129" xr:uid="{0ADD8C60-4E81-4C39-8951-666E9B871EAE}"/>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45" xr:uid="{E38581D3-88AC-4CBF-AEB2-568C7CADA0F4}"/>
    <cellStyle name="Normal 5 2 2 3 2 2 2 2 3" xfId="11632" xr:uid="{5FFBFE8E-4455-4F6E-B9B8-347E7D639F5F}"/>
    <cellStyle name="Normal 5 2 2 3 2 2 2 3" xfId="5205" xr:uid="{00000000-0005-0000-0000-00009C170000}"/>
    <cellStyle name="Normal 5 2 2 3 2 2 2 3 2" xfId="13700" xr:uid="{6FCB94BB-C948-41F9-A688-BFEB614CB21F}"/>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58" xr:uid="{1AC229B2-BCCE-4A12-A42E-F74B2EA954CD}"/>
    <cellStyle name="Normal 5 2 2 3 2 2 3 2 3" xfId="12045" xr:uid="{3B3588D9-9F51-44F6-8747-907578BF9D43}"/>
    <cellStyle name="Normal 5 2 2 3 2 2 3 3" xfId="5618" xr:uid="{00000000-0005-0000-0000-0000A0170000}"/>
    <cellStyle name="Normal 5 2 2 3 2 2 3 3 2" xfId="14113" xr:uid="{262EEC9E-854B-4FDD-A5BF-EAD64CB28C43}"/>
    <cellStyle name="Normal 5 2 2 3 2 2 3 4" xfId="9900" xr:uid="{817EE865-ADEB-40F9-89BC-7C8DBC761F2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71" xr:uid="{A280B979-89D3-4D5B-9B0D-0582096570B9}"/>
    <cellStyle name="Normal 5 2 2 3 2 2 4 2 3" xfId="12458" xr:uid="{FE93D42E-55F3-49E3-870C-5BADEAF16AE9}"/>
    <cellStyle name="Normal 5 2 2 3 2 2 4 3" xfId="6031" xr:uid="{00000000-0005-0000-0000-0000A4170000}"/>
    <cellStyle name="Normal 5 2 2 3 2 2 4 3 2" xfId="14526" xr:uid="{50C78678-87E9-4345-8356-6226F0C5EBA7}"/>
    <cellStyle name="Normal 5 2 2 3 2 2 4 4" xfId="10313" xr:uid="{B49EE7A8-1990-49F5-9915-2753CC8B67C5}"/>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84" xr:uid="{94F861E7-6A91-4808-8B26-4ECFDA32343F}"/>
    <cellStyle name="Normal 5 2 2 3 2 2 5 2 3" xfId="12871" xr:uid="{0B2867A0-CCF1-473D-B7DA-F0BCF65E13ED}"/>
    <cellStyle name="Normal 5 2 2 3 2 2 5 3" xfId="6444" xr:uid="{00000000-0005-0000-0000-0000A8170000}"/>
    <cellStyle name="Normal 5 2 2 3 2 2 5 3 2" xfId="14939" xr:uid="{EF91CD75-93D8-4600-A243-4E28EB8162F3}"/>
    <cellStyle name="Normal 5 2 2 3 2 2 5 4" xfId="10726" xr:uid="{7D8D31B4-B619-42F9-BA1A-8C53638C86E5}"/>
    <cellStyle name="Normal 5 2 2 3 2 2 6" xfId="2574" xr:uid="{00000000-0005-0000-0000-0000A9170000}"/>
    <cellStyle name="Normal 5 2 2 3 2 2 6 2" xfId="6857" xr:uid="{00000000-0005-0000-0000-0000AA170000}"/>
    <cellStyle name="Normal 5 2 2 3 2 2 6 2 2" xfId="15352" xr:uid="{07C24B58-C46D-4B88-93EE-E79E2BF86317}"/>
    <cellStyle name="Normal 5 2 2 3 2 2 6 3" xfId="11139" xr:uid="{415B6846-B2E4-43F4-8177-C0264E133F8B}"/>
    <cellStyle name="Normal 5 2 2 3 2 2 7" xfId="4792" xr:uid="{00000000-0005-0000-0000-0000AB170000}"/>
    <cellStyle name="Normal 5 2 2 3 2 2 7 2" xfId="13287" xr:uid="{F15B28B7-E71B-42E9-9AF2-E0DC7D8CDE9B}"/>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844" xr:uid="{4A0BA545-B7D8-4E62-BB24-E9DA85CAB9FB}"/>
    <cellStyle name="Normal 5 2 2 3 2 3 2 3" xfId="11631" xr:uid="{9F020A4C-5C4D-4F01-B814-E399E6A93FFB}"/>
    <cellStyle name="Normal 5 2 2 3 2 3 3" xfId="5204" xr:uid="{00000000-0005-0000-0000-0000AF170000}"/>
    <cellStyle name="Normal 5 2 2 3 2 3 3 2" xfId="13699" xr:uid="{D4FCAC33-FF9C-4821-9948-2A85A0134855}"/>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57" xr:uid="{5627BEE2-FD96-493A-BC80-DB2A44368ED7}"/>
    <cellStyle name="Normal 5 2 2 3 2 4 2 3" xfId="12044" xr:uid="{B2DC728E-197F-43B8-BCC8-E403C1A94566}"/>
    <cellStyle name="Normal 5 2 2 3 2 4 3" xfId="5617" xr:uid="{00000000-0005-0000-0000-0000B3170000}"/>
    <cellStyle name="Normal 5 2 2 3 2 4 3 2" xfId="14112" xr:uid="{64B2FAF5-5948-4934-828A-C3ECAE1BF4C3}"/>
    <cellStyle name="Normal 5 2 2 3 2 4 4" xfId="9899" xr:uid="{4D7333EE-06BB-42C4-BABC-624F99865E3F}"/>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70" xr:uid="{0BCF6B3B-A7A4-4BA9-B0EB-7AC5C8DAA94C}"/>
    <cellStyle name="Normal 5 2 2 3 2 5 2 3" xfId="12457" xr:uid="{7E694C8F-4C8C-4CE1-8361-96517F87C119}"/>
    <cellStyle name="Normal 5 2 2 3 2 5 3" xfId="6030" xr:uid="{00000000-0005-0000-0000-0000B7170000}"/>
    <cellStyle name="Normal 5 2 2 3 2 5 3 2" xfId="14525" xr:uid="{317BAFB3-12E7-4B47-8709-38B578D4C986}"/>
    <cellStyle name="Normal 5 2 2 3 2 5 4" xfId="10312" xr:uid="{6C884D4F-F0FC-4371-9D1E-79712848F951}"/>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83" xr:uid="{12361B57-D08A-4443-84E3-E1B01BE3845A}"/>
    <cellStyle name="Normal 5 2 2 3 2 6 2 3" xfId="12870" xr:uid="{B660C321-1B5C-4F57-B481-3AFA2F7C01FA}"/>
    <cellStyle name="Normal 5 2 2 3 2 6 3" xfId="6443" xr:uid="{00000000-0005-0000-0000-0000BB170000}"/>
    <cellStyle name="Normal 5 2 2 3 2 6 3 2" xfId="14938" xr:uid="{D247EF9D-05DE-4041-AA6C-8C4959419348}"/>
    <cellStyle name="Normal 5 2 2 3 2 6 4" xfId="10725" xr:uid="{C0622A94-6F3B-42FF-9A65-5C8DA131CEC2}"/>
    <cellStyle name="Normal 5 2 2 3 2 7" xfId="2573" xr:uid="{00000000-0005-0000-0000-0000BC170000}"/>
    <cellStyle name="Normal 5 2 2 3 2 7 2" xfId="6856" xr:uid="{00000000-0005-0000-0000-0000BD170000}"/>
    <cellStyle name="Normal 5 2 2 3 2 7 2 2" xfId="15351" xr:uid="{89AA3522-316E-4050-8B60-BDEE390515E0}"/>
    <cellStyle name="Normal 5 2 2 3 2 7 3" xfId="11138" xr:uid="{84A4E1F1-8C15-4D5B-950A-93ABE851C2FD}"/>
    <cellStyle name="Normal 5 2 2 3 2 8" xfId="4791" xr:uid="{00000000-0005-0000-0000-0000BE170000}"/>
    <cellStyle name="Normal 5 2 2 3 2 8 2" xfId="13286" xr:uid="{5C111059-21EA-4DE3-A8D5-B2967085197D}"/>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46" xr:uid="{EEABF498-FF39-42DE-8E0E-B83CFC7C7392}"/>
    <cellStyle name="Normal 5 2 2 3 3 2 2 3" xfId="11633" xr:uid="{A4CD0023-87D9-4C24-B5A8-0FED24A6F420}"/>
    <cellStyle name="Normal 5 2 2 3 3 2 3" xfId="5206" xr:uid="{00000000-0005-0000-0000-0000C3170000}"/>
    <cellStyle name="Normal 5 2 2 3 3 2 3 2" xfId="13701" xr:uid="{967BD057-9D49-4A41-909C-2E757175E168}"/>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59" xr:uid="{FC7B05B2-2743-4CDA-BFC4-5F7722A3E729}"/>
    <cellStyle name="Normal 5 2 2 3 3 3 2 3" xfId="12046" xr:uid="{B925931D-D19F-453E-BD9C-D741703A0E79}"/>
    <cellStyle name="Normal 5 2 2 3 3 3 3" xfId="5619" xr:uid="{00000000-0005-0000-0000-0000C7170000}"/>
    <cellStyle name="Normal 5 2 2 3 3 3 3 2" xfId="14114" xr:uid="{AAE67CAF-EDD1-4EBB-A62A-3B95BF3C2080}"/>
    <cellStyle name="Normal 5 2 2 3 3 3 4" xfId="9901" xr:uid="{DF03F2DD-2052-44C0-A662-698D53FA3E4A}"/>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72" xr:uid="{38BC072E-ACAE-4A2B-9D4C-2505457AD361}"/>
    <cellStyle name="Normal 5 2 2 3 3 4 2 3" xfId="12459" xr:uid="{CDE4B798-3AA0-4CEB-90B9-176A7845CACA}"/>
    <cellStyle name="Normal 5 2 2 3 3 4 3" xfId="6032" xr:uid="{00000000-0005-0000-0000-0000CB170000}"/>
    <cellStyle name="Normal 5 2 2 3 3 4 3 2" xfId="14527" xr:uid="{CD8C2E2A-6CEF-4CBA-BB76-1FA2B60DE519}"/>
    <cellStyle name="Normal 5 2 2 3 3 4 4" xfId="10314" xr:uid="{7A7ED68D-7C11-4D77-AEC0-A1A3AFD9E0E7}"/>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85" xr:uid="{789BEDE3-1C28-4EFE-B700-C486874F52BC}"/>
    <cellStyle name="Normal 5 2 2 3 3 5 2 3" xfId="12872" xr:uid="{0C3191C7-7AE5-4149-A7B5-FEEDD36849E8}"/>
    <cellStyle name="Normal 5 2 2 3 3 5 3" xfId="6445" xr:uid="{00000000-0005-0000-0000-0000CF170000}"/>
    <cellStyle name="Normal 5 2 2 3 3 5 3 2" xfId="14940" xr:uid="{BFCD24C7-C038-4A0A-90C3-340AC20EE482}"/>
    <cellStyle name="Normal 5 2 2 3 3 5 4" xfId="10727" xr:uid="{01A51A96-C229-4E93-AABF-BB51007C6E0E}"/>
    <cellStyle name="Normal 5 2 2 3 3 6" xfId="2575" xr:uid="{00000000-0005-0000-0000-0000D0170000}"/>
    <cellStyle name="Normal 5 2 2 3 3 6 2" xfId="6858" xr:uid="{00000000-0005-0000-0000-0000D1170000}"/>
    <cellStyle name="Normal 5 2 2 3 3 6 2 2" xfId="15353" xr:uid="{83273DCF-AF5D-41AC-9A32-F134078D0FD0}"/>
    <cellStyle name="Normal 5 2 2 3 3 6 3" xfId="11140" xr:uid="{15844A65-868C-461D-BAF7-A3DBD2F741A8}"/>
    <cellStyle name="Normal 5 2 2 3 3 7" xfId="4793" xr:uid="{00000000-0005-0000-0000-0000D2170000}"/>
    <cellStyle name="Normal 5 2 2 3 3 7 2" xfId="13288" xr:uid="{48917F9F-61EA-4BB9-A97E-8797D93A4A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843" xr:uid="{B74CC9A6-61C1-4AA2-9CFB-F1FC84792DD9}"/>
    <cellStyle name="Normal 5 2 2 3 4 2 3" xfId="11630" xr:uid="{DB60FD82-2A9A-4E6E-A1F5-72F7C0125046}"/>
    <cellStyle name="Normal 5 2 2 3 4 3" xfId="5203" xr:uid="{00000000-0005-0000-0000-0000D6170000}"/>
    <cellStyle name="Normal 5 2 2 3 4 3 2" xfId="13698" xr:uid="{A31325E4-4965-4B4D-AA15-135ACFFD70DB}"/>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56" xr:uid="{3BD1DDBA-107E-4E53-B273-1A5C5252E823}"/>
    <cellStyle name="Normal 5 2 2 3 5 2 3" xfId="12043" xr:uid="{6ABAE76E-8FFC-45DF-BFE3-91250EA0CA3F}"/>
    <cellStyle name="Normal 5 2 2 3 5 3" xfId="5616" xr:uid="{00000000-0005-0000-0000-0000DA170000}"/>
    <cellStyle name="Normal 5 2 2 3 5 3 2" xfId="14111" xr:uid="{C4B820E7-B5DB-4A8D-941D-940B3B6C687F}"/>
    <cellStyle name="Normal 5 2 2 3 5 4" xfId="9898" xr:uid="{44CDE497-E1BE-43C7-B750-5B268BC502FB}"/>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69" xr:uid="{EA9920D8-0CB7-4BDE-A428-77208DE58417}"/>
    <cellStyle name="Normal 5 2 2 3 6 2 3" xfId="12456" xr:uid="{828AD163-E4ED-4AAC-A324-F47F1C4270CC}"/>
    <cellStyle name="Normal 5 2 2 3 6 3" xfId="6029" xr:uid="{00000000-0005-0000-0000-0000DE170000}"/>
    <cellStyle name="Normal 5 2 2 3 6 3 2" xfId="14524" xr:uid="{EC5B5028-6ECD-4DC6-BA29-89659463B2D4}"/>
    <cellStyle name="Normal 5 2 2 3 6 4" xfId="10311" xr:uid="{688B1231-3CCC-4B7B-A537-46C2DBFDD213}"/>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82" xr:uid="{A6278F69-1C4E-46D1-A097-EBE3288C7B70}"/>
    <cellStyle name="Normal 5 2 2 3 7 2 3" xfId="12869" xr:uid="{4C91EAD5-77A9-46C3-A67A-2015E36DD96B}"/>
    <cellStyle name="Normal 5 2 2 3 7 3" xfId="6442" xr:uid="{00000000-0005-0000-0000-0000E2170000}"/>
    <cellStyle name="Normal 5 2 2 3 7 3 2" xfId="14937" xr:uid="{D341CE77-886E-485F-BFAB-0590FE523DF2}"/>
    <cellStyle name="Normal 5 2 2 3 7 4" xfId="10724" xr:uid="{9DCCB79F-99F6-41E2-AB36-733F496F146C}"/>
    <cellStyle name="Normal 5 2 2 3 8" xfId="2572" xr:uid="{00000000-0005-0000-0000-0000E3170000}"/>
    <cellStyle name="Normal 5 2 2 3 8 2" xfId="6855" xr:uid="{00000000-0005-0000-0000-0000E4170000}"/>
    <cellStyle name="Normal 5 2 2 3 8 2 2" xfId="15350" xr:uid="{BECB5006-C936-44AB-A9E4-78E8E504EFFB}"/>
    <cellStyle name="Normal 5 2 2 3 8 3" xfId="11137" xr:uid="{7B01DAC3-412A-4E1C-BE06-D05B3CF9C912}"/>
    <cellStyle name="Normal 5 2 2 3 9" xfId="4790" xr:uid="{00000000-0005-0000-0000-0000E5170000}"/>
    <cellStyle name="Normal 5 2 2 3 9 2" xfId="13285" xr:uid="{17A5A805-06D7-4983-8930-76366F5AF9D3}"/>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48" xr:uid="{EE218B69-F92D-44B4-9DE5-629ABC8576BC}"/>
    <cellStyle name="Normal 5 2 2 4 2 2 2 3" xfId="11635" xr:uid="{0911D6B3-3496-4CF7-BEC3-A00E6B3C08F8}"/>
    <cellStyle name="Normal 5 2 2 4 2 2 3" xfId="5208" xr:uid="{00000000-0005-0000-0000-0000EB170000}"/>
    <cellStyle name="Normal 5 2 2 4 2 2 3 2" xfId="13703" xr:uid="{5C7E8486-CCA7-4F3C-9651-9DA2FD5AA6AD}"/>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61" xr:uid="{26810898-30AC-4ACD-8E0E-5DE6B7A81E2D}"/>
    <cellStyle name="Normal 5 2 2 4 2 3 2 3" xfId="12048" xr:uid="{FD28A23C-CD1D-4901-AA46-1A9A65F5784E}"/>
    <cellStyle name="Normal 5 2 2 4 2 3 3" xfId="5621" xr:uid="{00000000-0005-0000-0000-0000EF170000}"/>
    <cellStyle name="Normal 5 2 2 4 2 3 3 2" xfId="14116" xr:uid="{64F9962A-401D-48A7-93A0-770E2E1D9D38}"/>
    <cellStyle name="Normal 5 2 2 4 2 3 4" xfId="9903" xr:uid="{B4FF2E37-11C4-41F6-BD40-4F7292FC8D26}"/>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74" xr:uid="{843BAAA2-3417-4B7C-AF6B-7D2DF4FF18F9}"/>
    <cellStyle name="Normal 5 2 2 4 2 4 2 3" xfId="12461" xr:uid="{6A672E0C-AD18-4622-822C-4E52C9E38749}"/>
    <cellStyle name="Normal 5 2 2 4 2 4 3" xfId="6034" xr:uid="{00000000-0005-0000-0000-0000F3170000}"/>
    <cellStyle name="Normal 5 2 2 4 2 4 3 2" xfId="14529" xr:uid="{DA57239F-B5BB-4B4E-A2F2-F9DE814538CB}"/>
    <cellStyle name="Normal 5 2 2 4 2 4 4" xfId="10316" xr:uid="{7A691837-D198-4A7B-92D6-A13CBF1BB181}"/>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87" xr:uid="{8F1E5BD4-6FDC-4D0F-9752-8EDEF623B35C}"/>
    <cellStyle name="Normal 5 2 2 4 2 5 2 3" xfId="12874" xr:uid="{5F67D1B2-7A8E-4AD6-A4A0-967CC02D75BA}"/>
    <cellStyle name="Normal 5 2 2 4 2 5 3" xfId="6447" xr:uid="{00000000-0005-0000-0000-0000F7170000}"/>
    <cellStyle name="Normal 5 2 2 4 2 5 3 2" xfId="14942" xr:uid="{154BA863-DDE0-4BCC-927C-323C5E5CE8BB}"/>
    <cellStyle name="Normal 5 2 2 4 2 5 4" xfId="10729" xr:uid="{40DC18C8-C4A1-4D60-8947-D19277D86428}"/>
    <cellStyle name="Normal 5 2 2 4 2 6" xfId="2577" xr:uid="{00000000-0005-0000-0000-0000F8170000}"/>
    <cellStyle name="Normal 5 2 2 4 2 6 2" xfId="6860" xr:uid="{00000000-0005-0000-0000-0000F9170000}"/>
    <cellStyle name="Normal 5 2 2 4 2 6 2 2" xfId="15355" xr:uid="{1AC26FEF-1938-4ED1-89E5-692519F44EAA}"/>
    <cellStyle name="Normal 5 2 2 4 2 6 3" xfId="11142" xr:uid="{3A8C3778-95D7-4853-8F61-5FFFA3958CD9}"/>
    <cellStyle name="Normal 5 2 2 4 2 7" xfId="4795" xr:uid="{00000000-0005-0000-0000-0000FA170000}"/>
    <cellStyle name="Normal 5 2 2 4 2 7 2" xfId="13290" xr:uid="{5D0FEDEF-495C-4717-9BFF-7A5706D98222}"/>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47" xr:uid="{B661FC39-A202-48E9-8F48-0D34B83253A0}"/>
    <cellStyle name="Normal 5 2 2 4 3 2 3" xfId="11634" xr:uid="{F3D3625B-4171-4760-8CE2-0D292DC09A7F}"/>
    <cellStyle name="Normal 5 2 2 4 3 3" xfId="5207" xr:uid="{00000000-0005-0000-0000-0000FE170000}"/>
    <cellStyle name="Normal 5 2 2 4 3 3 2" xfId="13702" xr:uid="{BA5AA402-4009-4325-B851-1D6B14A028BC}"/>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60" xr:uid="{AC9A2814-8A5C-439E-A2BA-50AF13BD65A1}"/>
    <cellStyle name="Normal 5 2 2 4 4 2 3" xfId="12047" xr:uid="{27881A83-A53A-4102-8A1B-19994D4ACB9D}"/>
    <cellStyle name="Normal 5 2 2 4 4 3" xfId="5620" xr:uid="{00000000-0005-0000-0000-000002180000}"/>
    <cellStyle name="Normal 5 2 2 4 4 3 2" xfId="14115" xr:uid="{363FFF09-A0BE-4297-834B-61D6FB68E7B5}"/>
    <cellStyle name="Normal 5 2 2 4 4 4" xfId="9902" xr:uid="{E3074F8C-3748-45CD-A5AB-BA41898F942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73" xr:uid="{E8BBFF9B-D0F0-45D5-8C21-A15341090192}"/>
    <cellStyle name="Normal 5 2 2 4 5 2 3" xfId="12460" xr:uid="{667A2944-5949-49E7-805D-79FE6F22D4E7}"/>
    <cellStyle name="Normal 5 2 2 4 5 3" xfId="6033" xr:uid="{00000000-0005-0000-0000-000006180000}"/>
    <cellStyle name="Normal 5 2 2 4 5 3 2" xfId="14528" xr:uid="{FCE26CAE-2A6F-4361-857A-AD3021D8D237}"/>
    <cellStyle name="Normal 5 2 2 4 5 4" xfId="10315" xr:uid="{0D236B2F-5441-4D82-A23B-08A591836577}"/>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86" xr:uid="{297AF6B3-ED6B-445A-87CF-430B3F82714D}"/>
    <cellStyle name="Normal 5 2 2 4 6 2 3" xfId="12873" xr:uid="{64FC4937-A771-4EDB-9495-0A845A27CCAA}"/>
    <cellStyle name="Normal 5 2 2 4 6 3" xfId="6446" xr:uid="{00000000-0005-0000-0000-00000A180000}"/>
    <cellStyle name="Normal 5 2 2 4 6 3 2" xfId="14941" xr:uid="{35D00C55-F765-4851-90C2-EB4C1C971D86}"/>
    <cellStyle name="Normal 5 2 2 4 6 4" xfId="10728" xr:uid="{84C30539-8942-4161-BD1A-C9ED77D93349}"/>
    <cellStyle name="Normal 5 2 2 4 7" xfId="2576" xr:uid="{00000000-0005-0000-0000-00000B180000}"/>
    <cellStyle name="Normal 5 2 2 4 7 2" xfId="6859" xr:uid="{00000000-0005-0000-0000-00000C180000}"/>
    <cellStyle name="Normal 5 2 2 4 7 2 2" xfId="15354" xr:uid="{031E5789-E03C-4B96-9811-679AC62D5F5F}"/>
    <cellStyle name="Normal 5 2 2 4 7 3" xfId="11141" xr:uid="{D0324102-CC77-4B15-87EF-E738C89269A2}"/>
    <cellStyle name="Normal 5 2 2 4 8" xfId="4794" xr:uid="{00000000-0005-0000-0000-00000D180000}"/>
    <cellStyle name="Normal 5 2 2 4 8 2" xfId="13289" xr:uid="{98B394B3-FFCF-4824-9797-2298A39B7F29}"/>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49" xr:uid="{5E48D53F-FF44-415F-AB46-0747197EA581}"/>
    <cellStyle name="Normal 5 2 2 5 2 2 3" xfId="11636" xr:uid="{6E7B6E1A-6346-45B5-AB76-F4A91B9A9CEF}"/>
    <cellStyle name="Normal 5 2 2 5 2 3" xfId="5209" xr:uid="{00000000-0005-0000-0000-000012180000}"/>
    <cellStyle name="Normal 5 2 2 5 2 3 2" xfId="13704" xr:uid="{C6D2F675-1DDE-4424-8D4D-55AC3C0C6F09}"/>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62" xr:uid="{4C7B6F06-6781-4F8E-B127-08DF3108812F}"/>
    <cellStyle name="Normal 5 2 2 5 3 2 3" xfId="12049" xr:uid="{E6B943E0-3B3F-4A16-B20D-A74D530BBB45}"/>
    <cellStyle name="Normal 5 2 2 5 3 3" xfId="5622" xr:uid="{00000000-0005-0000-0000-000016180000}"/>
    <cellStyle name="Normal 5 2 2 5 3 3 2" xfId="14117" xr:uid="{D367A989-CDEA-45F9-8D1C-154CDBF39726}"/>
    <cellStyle name="Normal 5 2 2 5 3 4" xfId="9904" xr:uid="{1B2B5CA0-F6FF-4062-ABFA-2BBEAE8F7633}"/>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75" xr:uid="{C687874D-4584-4463-A745-A2031D075027}"/>
    <cellStyle name="Normal 5 2 2 5 4 2 3" xfId="12462" xr:uid="{CA83FA3A-E896-40FD-A992-F13FB19CB783}"/>
    <cellStyle name="Normal 5 2 2 5 4 3" xfId="6035" xr:uid="{00000000-0005-0000-0000-00001A180000}"/>
    <cellStyle name="Normal 5 2 2 5 4 3 2" xfId="14530" xr:uid="{76896E6A-7FB0-4D1E-81FC-AAD888246C4C}"/>
    <cellStyle name="Normal 5 2 2 5 4 4" xfId="10317" xr:uid="{4631093D-15A9-46E4-BF8B-62746D416409}"/>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88" xr:uid="{147900C4-E053-457D-BC1F-246F956F305E}"/>
    <cellStyle name="Normal 5 2 2 5 5 2 3" xfId="12875" xr:uid="{4D02A6F6-4B2A-448D-9324-DEB1D0C35FEA}"/>
    <cellStyle name="Normal 5 2 2 5 5 3" xfId="6448" xr:uid="{00000000-0005-0000-0000-00001E180000}"/>
    <cellStyle name="Normal 5 2 2 5 5 3 2" xfId="14943" xr:uid="{08F4E171-0487-4924-93F4-B8E92160E216}"/>
    <cellStyle name="Normal 5 2 2 5 5 4" xfId="10730" xr:uid="{84557B2F-1A6F-4135-A55B-0FC1B74CF896}"/>
    <cellStyle name="Normal 5 2 2 5 6" xfId="2578" xr:uid="{00000000-0005-0000-0000-00001F180000}"/>
    <cellStyle name="Normal 5 2 2 5 6 2" xfId="6861" xr:uid="{00000000-0005-0000-0000-000020180000}"/>
    <cellStyle name="Normal 5 2 2 5 6 2 2" xfId="15356" xr:uid="{88F5F59D-52CF-4D72-9757-DE432E89F75C}"/>
    <cellStyle name="Normal 5 2 2 5 6 3" xfId="11143" xr:uid="{9E0820E5-DF5B-4D7F-A2CA-3DB5F4EC2E0A}"/>
    <cellStyle name="Normal 5 2 2 5 7" xfId="4796" xr:uid="{00000000-0005-0000-0000-000021180000}"/>
    <cellStyle name="Normal 5 2 2 5 7 2" xfId="13291" xr:uid="{41994C2A-9BEF-40A2-82AE-096493C8E522}"/>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2 2 2" xfId="15834" xr:uid="{9F8C0698-DB5F-46C3-89EB-4EE47790F36F}"/>
    <cellStyle name="Normal 5 2 2 6 2 3" xfId="11621" xr:uid="{156BB1E7-D55D-43F0-B3B2-2AB931E6F45A}"/>
    <cellStyle name="Normal 5 2 2 6 3" xfId="5194" xr:uid="{00000000-0005-0000-0000-000025180000}"/>
    <cellStyle name="Normal 5 2 2 6 3 2" xfId="13689" xr:uid="{0EB7C6B2-7C2A-4003-BFC7-8BAC34948C0E}"/>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2 2 2" xfId="16247" xr:uid="{27A1CCA3-7FBE-4D6B-8AE2-26D12FB37AC8}"/>
    <cellStyle name="Normal 5 2 2 7 2 3" xfId="12034" xr:uid="{B5C5457D-8020-4845-9CA6-4290046CD4E3}"/>
    <cellStyle name="Normal 5 2 2 7 3" xfId="5607" xr:uid="{00000000-0005-0000-0000-000029180000}"/>
    <cellStyle name="Normal 5 2 2 7 3 2" xfId="14102" xr:uid="{BEC821BE-E9E2-4D86-A727-A7CDBDC18A8C}"/>
    <cellStyle name="Normal 5 2 2 7 4" xfId="9889" xr:uid="{5D2B9605-1D2C-42F6-AC89-4A49C6ED9B23}"/>
    <cellStyle name="Normal 5 2 2 8" xfId="1713" xr:uid="{00000000-0005-0000-0000-00002A180000}"/>
    <cellStyle name="Normal 5 2 2 8 2" xfId="3943" xr:uid="{00000000-0005-0000-0000-00002B180000}"/>
    <cellStyle name="Normal 5 2 2 8 2 2" xfId="8165" xr:uid="{00000000-0005-0000-0000-00002C180000}"/>
    <cellStyle name="Normal 5 2 2 8 2 2 2" xfId="16660" xr:uid="{86F113E4-D0DA-41B1-B1F6-4B4752B5E9DD}"/>
    <cellStyle name="Normal 5 2 2 8 2 3" xfId="12447" xr:uid="{0EC31B7B-C893-4158-9AA8-E21EC28A6792}"/>
    <cellStyle name="Normal 5 2 2 8 3" xfId="6020" xr:uid="{00000000-0005-0000-0000-00002D180000}"/>
    <cellStyle name="Normal 5 2 2 8 3 2" xfId="14515" xr:uid="{D7D06C53-68F3-4B74-99E9-BF5B9C9A2DB7}"/>
    <cellStyle name="Normal 5 2 2 8 4" xfId="10302" xr:uid="{12E39E09-1C2F-4B59-BEDB-40423F3E117D}"/>
    <cellStyle name="Normal 5 2 2 9" xfId="2127" xr:uid="{00000000-0005-0000-0000-00002E180000}"/>
    <cellStyle name="Normal 5 2 2 9 2" xfId="4356" xr:uid="{00000000-0005-0000-0000-00002F180000}"/>
    <cellStyle name="Normal 5 2 2 9 2 2" xfId="8578" xr:uid="{00000000-0005-0000-0000-000030180000}"/>
    <cellStyle name="Normal 5 2 2 9 2 2 2" xfId="17073" xr:uid="{342390F8-9F0C-49CA-ABD2-BBE7C4CCB14D}"/>
    <cellStyle name="Normal 5 2 2 9 2 3" xfId="12860" xr:uid="{8F9BB58A-0297-49B8-A0AD-D307A553D4C8}"/>
    <cellStyle name="Normal 5 2 2 9 3" xfId="6433" xr:uid="{00000000-0005-0000-0000-000031180000}"/>
    <cellStyle name="Normal 5 2 2 9 3 2" xfId="14928" xr:uid="{303AF387-6B38-4288-8B2D-A82820F82716}"/>
    <cellStyle name="Normal 5 2 2 9 4" xfId="10715" xr:uid="{67EF7D6A-A0EB-4BE3-9B05-8AEAFCF8795B}"/>
    <cellStyle name="Normal 5 2 3" xfId="424" xr:uid="{00000000-0005-0000-0000-000032180000}"/>
    <cellStyle name="Normal 5 2 3 10" xfId="4797" xr:uid="{00000000-0005-0000-0000-000033180000}"/>
    <cellStyle name="Normal 5 2 3 10 2" xfId="13292" xr:uid="{F314F85F-7724-4528-8D1D-0BE0669C8233}"/>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53" xr:uid="{FADA439E-8D6D-45FE-AEEF-3C0FE72F8223}"/>
    <cellStyle name="Normal 5 2 3 2 2 2 2 2 3" xfId="11640" xr:uid="{875E6E98-897D-44EB-A3A2-D2ED379FD000}"/>
    <cellStyle name="Normal 5 2 3 2 2 2 2 3" xfId="5213" xr:uid="{00000000-0005-0000-0000-00003A180000}"/>
    <cellStyle name="Normal 5 2 3 2 2 2 2 3 2" xfId="13708" xr:uid="{B11B22E4-7CF2-4884-8247-7577D337672C}"/>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66" xr:uid="{6F2E62A9-FCDA-4C7B-8B03-AC065D1C3780}"/>
    <cellStyle name="Normal 5 2 3 2 2 2 3 2 3" xfId="12053" xr:uid="{FEFE1414-EF2A-4C82-BAE2-502F5F667158}"/>
    <cellStyle name="Normal 5 2 3 2 2 2 3 3" xfId="5626" xr:uid="{00000000-0005-0000-0000-00003E180000}"/>
    <cellStyle name="Normal 5 2 3 2 2 2 3 3 2" xfId="14121" xr:uid="{61F874E6-7980-4A59-B3AD-E6636243F095}"/>
    <cellStyle name="Normal 5 2 3 2 2 2 3 4" xfId="9908" xr:uid="{EA2B971E-90C6-445D-870F-7DB867417C38}"/>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79" xr:uid="{942E9481-1EE2-48E1-8D5D-537ACD311DEC}"/>
    <cellStyle name="Normal 5 2 3 2 2 2 4 2 3" xfId="12466" xr:uid="{EBD6B8FF-1C87-4B23-829B-76CFF87EE01D}"/>
    <cellStyle name="Normal 5 2 3 2 2 2 4 3" xfId="6039" xr:uid="{00000000-0005-0000-0000-000042180000}"/>
    <cellStyle name="Normal 5 2 3 2 2 2 4 3 2" xfId="14534" xr:uid="{C738779F-C4DB-48D1-9D6B-3E31C0925154}"/>
    <cellStyle name="Normal 5 2 3 2 2 2 4 4" xfId="10321" xr:uid="{06D9ECF9-C8C7-4AC5-9272-FCF70FBE42CD}"/>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92" xr:uid="{A49F9404-C448-48B3-8C7F-5B936973A4A5}"/>
    <cellStyle name="Normal 5 2 3 2 2 2 5 2 3" xfId="12879" xr:uid="{0F1D508E-8B9E-4818-BBA0-F784D156F676}"/>
    <cellStyle name="Normal 5 2 3 2 2 2 5 3" xfId="6452" xr:uid="{00000000-0005-0000-0000-000046180000}"/>
    <cellStyle name="Normal 5 2 3 2 2 2 5 3 2" xfId="14947" xr:uid="{274B23AD-17B1-4547-88A5-A4F89A46473C}"/>
    <cellStyle name="Normal 5 2 3 2 2 2 5 4" xfId="10734" xr:uid="{DA9D58AC-99B9-4696-A95E-F3E64FD64B79}"/>
    <cellStyle name="Normal 5 2 3 2 2 2 6" xfId="2582" xr:uid="{00000000-0005-0000-0000-000047180000}"/>
    <cellStyle name="Normal 5 2 3 2 2 2 6 2" xfId="6865" xr:uid="{00000000-0005-0000-0000-000048180000}"/>
    <cellStyle name="Normal 5 2 3 2 2 2 6 2 2" xfId="15360" xr:uid="{D3492FC2-F3FE-4949-A585-4764BC30D4C4}"/>
    <cellStyle name="Normal 5 2 3 2 2 2 6 3" xfId="11147" xr:uid="{2C0B87F5-084F-4829-9731-2A149D33B27C}"/>
    <cellStyle name="Normal 5 2 3 2 2 2 7" xfId="4800" xr:uid="{00000000-0005-0000-0000-000049180000}"/>
    <cellStyle name="Normal 5 2 3 2 2 2 7 2" xfId="13295" xr:uid="{840D8438-DFC2-4EE1-A0A3-5E706A9B23E5}"/>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52" xr:uid="{3B942BBE-9E22-4D64-B41A-EE5E6A5EF8C3}"/>
    <cellStyle name="Normal 5 2 3 2 2 3 2 3" xfId="11639" xr:uid="{BC371A9D-7307-46AA-AC74-D5E2A378E18C}"/>
    <cellStyle name="Normal 5 2 3 2 2 3 3" xfId="5212" xr:uid="{00000000-0005-0000-0000-00004D180000}"/>
    <cellStyle name="Normal 5 2 3 2 2 3 3 2" xfId="13707" xr:uid="{F994F2E4-A4C4-46DE-816E-89CE6BEED22F}"/>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65" xr:uid="{E6F103E2-163B-4C6A-9C61-5E060BA6EF8E}"/>
    <cellStyle name="Normal 5 2 3 2 2 4 2 3" xfId="12052" xr:uid="{8766F98E-1EC4-4D24-B6EF-3D032F710181}"/>
    <cellStyle name="Normal 5 2 3 2 2 4 3" xfId="5625" xr:uid="{00000000-0005-0000-0000-000051180000}"/>
    <cellStyle name="Normal 5 2 3 2 2 4 3 2" xfId="14120" xr:uid="{C67DCC42-9F63-4C25-A5C8-BB756D2F26D4}"/>
    <cellStyle name="Normal 5 2 3 2 2 4 4" xfId="9907" xr:uid="{1D9F42D1-320E-469A-822B-1CE2B6D9CD05}"/>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78" xr:uid="{90F21528-FFDD-4A47-AD9F-58735EEFD9E4}"/>
    <cellStyle name="Normal 5 2 3 2 2 5 2 3" xfId="12465" xr:uid="{89BBD49A-F49D-46E3-9AEA-C928CB68E204}"/>
    <cellStyle name="Normal 5 2 3 2 2 5 3" xfId="6038" xr:uid="{00000000-0005-0000-0000-000055180000}"/>
    <cellStyle name="Normal 5 2 3 2 2 5 3 2" xfId="14533" xr:uid="{F03B578F-EF0D-470F-9A31-EB4E65D4B78A}"/>
    <cellStyle name="Normal 5 2 3 2 2 5 4" xfId="10320" xr:uid="{85159099-B3FA-41E5-81A5-E63CD7DD8A3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91" xr:uid="{C7044637-D563-4331-89E8-3DEC41631A41}"/>
    <cellStyle name="Normal 5 2 3 2 2 6 2 3" xfId="12878" xr:uid="{F0E5C4D1-FA79-49C9-8696-CBD650CF9FFD}"/>
    <cellStyle name="Normal 5 2 3 2 2 6 3" xfId="6451" xr:uid="{00000000-0005-0000-0000-000059180000}"/>
    <cellStyle name="Normal 5 2 3 2 2 6 3 2" xfId="14946" xr:uid="{6A5D6E79-F386-4F28-8885-D49558A77E63}"/>
    <cellStyle name="Normal 5 2 3 2 2 6 4" xfId="10733" xr:uid="{DEA4EDAB-30D0-45D5-A2A0-0A1B8C4C9DB1}"/>
    <cellStyle name="Normal 5 2 3 2 2 7" xfId="2581" xr:uid="{00000000-0005-0000-0000-00005A180000}"/>
    <cellStyle name="Normal 5 2 3 2 2 7 2" xfId="6864" xr:uid="{00000000-0005-0000-0000-00005B180000}"/>
    <cellStyle name="Normal 5 2 3 2 2 7 2 2" xfId="15359" xr:uid="{D8DABDF7-58B2-41D0-B7B2-D171789B6DED}"/>
    <cellStyle name="Normal 5 2 3 2 2 7 3" xfId="11146" xr:uid="{8F8A55A5-BFB0-4567-8E10-7456970F2D1D}"/>
    <cellStyle name="Normal 5 2 3 2 2 8" xfId="4799" xr:uid="{00000000-0005-0000-0000-00005C180000}"/>
    <cellStyle name="Normal 5 2 3 2 2 8 2" xfId="13294" xr:uid="{48D625F5-AD27-434A-9E8E-2430253ED73A}"/>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54" xr:uid="{80FBDB1B-25D2-47ED-81CA-DEBE8A84E09F}"/>
    <cellStyle name="Normal 5 2 3 2 3 2 2 3" xfId="11641" xr:uid="{3C991C59-81B5-4C30-9E6C-D69F5FA19D49}"/>
    <cellStyle name="Normal 5 2 3 2 3 2 3" xfId="5214" xr:uid="{00000000-0005-0000-0000-000061180000}"/>
    <cellStyle name="Normal 5 2 3 2 3 2 3 2" xfId="13709" xr:uid="{E22CB00D-7B6A-4D08-9AF1-B91933742D6B}"/>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67" xr:uid="{29F3CC7F-DB14-457A-B240-BC217FDF247F}"/>
    <cellStyle name="Normal 5 2 3 2 3 3 2 3" xfId="12054" xr:uid="{92E59355-77F0-4965-BEE4-78313B875CDE}"/>
    <cellStyle name="Normal 5 2 3 2 3 3 3" xfId="5627" xr:uid="{00000000-0005-0000-0000-000065180000}"/>
    <cellStyle name="Normal 5 2 3 2 3 3 3 2" xfId="14122" xr:uid="{574928CB-0CB2-4AC0-8B8F-0733A0405960}"/>
    <cellStyle name="Normal 5 2 3 2 3 3 4" xfId="9909" xr:uid="{9C99A0C5-F963-453F-A60C-5C71B5BCC4ED}"/>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80" xr:uid="{AC3CB8AD-F2E6-45F8-872A-6FFE4525ECE5}"/>
    <cellStyle name="Normal 5 2 3 2 3 4 2 3" xfId="12467" xr:uid="{0A4FC22E-37F9-4278-8D1D-0C00B8A96BE1}"/>
    <cellStyle name="Normal 5 2 3 2 3 4 3" xfId="6040" xr:uid="{00000000-0005-0000-0000-000069180000}"/>
    <cellStyle name="Normal 5 2 3 2 3 4 3 2" xfId="14535" xr:uid="{798B0BFE-A7D0-4EB1-9273-757FD37F2A84}"/>
    <cellStyle name="Normal 5 2 3 2 3 4 4" xfId="10322" xr:uid="{A9AF5AFC-0D32-4B37-AF1E-2CF36D8B1F03}"/>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93" xr:uid="{3325B636-82F7-4F4C-BDDF-07A5885D89A2}"/>
    <cellStyle name="Normal 5 2 3 2 3 5 2 3" xfId="12880" xr:uid="{99AC77D9-C627-4A4F-A71E-AD54C813706D}"/>
    <cellStyle name="Normal 5 2 3 2 3 5 3" xfId="6453" xr:uid="{00000000-0005-0000-0000-00006D180000}"/>
    <cellStyle name="Normal 5 2 3 2 3 5 3 2" xfId="14948" xr:uid="{67638FFF-1C21-48C6-9568-482BE0B984DC}"/>
    <cellStyle name="Normal 5 2 3 2 3 5 4" xfId="10735" xr:uid="{867D12F0-DFA1-4399-B4B5-5EECD117FB60}"/>
    <cellStyle name="Normal 5 2 3 2 3 6" xfId="2583" xr:uid="{00000000-0005-0000-0000-00006E180000}"/>
    <cellStyle name="Normal 5 2 3 2 3 6 2" xfId="6866" xr:uid="{00000000-0005-0000-0000-00006F180000}"/>
    <cellStyle name="Normal 5 2 3 2 3 6 2 2" xfId="15361" xr:uid="{037CADC7-1E45-49B0-89AE-043B65B1DCF8}"/>
    <cellStyle name="Normal 5 2 3 2 3 6 3" xfId="11148" xr:uid="{1389FD7C-1BA5-4DA0-BF9E-1B6194D87181}"/>
    <cellStyle name="Normal 5 2 3 2 3 7" xfId="4801" xr:uid="{00000000-0005-0000-0000-000070180000}"/>
    <cellStyle name="Normal 5 2 3 2 3 7 2" xfId="13296" xr:uid="{AF3D740B-72AC-4467-AFF4-5D974651D409}"/>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51" xr:uid="{EA20C1BF-AF1D-4E63-A838-4962FFEA42D2}"/>
    <cellStyle name="Normal 5 2 3 2 4 2 3" xfId="11638" xr:uid="{E2E47684-7853-48B2-AC51-74CA3F36745B}"/>
    <cellStyle name="Normal 5 2 3 2 4 3" xfId="5211" xr:uid="{00000000-0005-0000-0000-000074180000}"/>
    <cellStyle name="Normal 5 2 3 2 4 3 2" xfId="13706" xr:uid="{47104F9C-1933-4EEA-9E66-96F669510A94}"/>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64" xr:uid="{D436914B-60D9-4809-B4D2-D64D9F9C101E}"/>
    <cellStyle name="Normal 5 2 3 2 5 2 3" xfId="12051" xr:uid="{5DB7C67E-B029-4AE1-89B5-BE47F6A9E981}"/>
    <cellStyle name="Normal 5 2 3 2 5 3" xfId="5624" xr:uid="{00000000-0005-0000-0000-000078180000}"/>
    <cellStyle name="Normal 5 2 3 2 5 3 2" xfId="14119" xr:uid="{270CE17D-D2D9-4136-983D-5215C9611992}"/>
    <cellStyle name="Normal 5 2 3 2 5 4" xfId="9906" xr:uid="{F57854D1-20AB-43B7-A07E-D6E8B7FE490F}"/>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77" xr:uid="{2251F2E1-75FA-48F1-811A-273507D107DF}"/>
    <cellStyle name="Normal 5 2 3 2 6 2 3" xfId="12464" xr:uid="{CFEDF54B-A872-4043-BBF9-709CCB5A900D}"/>
    <cellStyle name="Normal 5 2 3 2 6 3" xfId="6037" xr:uid="{00000000-0005-0000-0000-00007C180000}"/>
    <cellStyle name="Normal 5 2 3 2 6 3 2" xfId="14532" xr:uid="{7C27E28D-849A-4457-91E0-1506A80ECE22}"/>
    <cellStyle name="Normal 5 2 3 2 6 4" xfId="10319" xr:uid="{956C1B81-B317-4290-B6E6-5A0441AEA127}"/>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90" xr:uid="{0BCD8970-B9C2-4389-82D0-CB1D563B8C16}"/>
    <cellStyle name="Normal 5 2 3 2 7 2 3" xfId="12877" xr:uid="{2927FD31-A1A4-4222-BCB0-BE0CD8A4F9CE}"/>
    <cellStyle name="Normal 5 2 3 2 7 3" xfId="6450" xr:uid="{00000000-0005-0000-0000-000080180000}"/>
    <cellStyle name="Normal 5 2 3 2 7 3 2" xfId="14945" xr:uid="{B710C92F-AB3F-405A-AE36-BD54A3924FD4}"/>
    <cellStyle name="Normal 5 2 3 2 7 4" xfId="10732" xr:uid="{AE139646-46FC-41B0-BFE9-B085C34C1339}"/>
    <cellStyle name="Normal 5 2 3 2 8" xfId="2580" xr:uid="{00000000-0005-0000-0000-000081180000}"/>
    <cellStyle name="Normal 5 2 3 2 8 2" xfId="6863" xr:uid="{00000000-0005-0000-0000-000082180000}"/>
    <cellStyle name="Normal 5 2 3 2 8 2 2" xfId="15358" xr:uid="{3A39DD92-7BAC-4F37-8C56-A3E2C5FB8C4F}"/>
    <cellStyle name="Normal 5 2 3 2 8 3" xfId="11145" xr:uid="{D4C0D97B-1A8A-492B-8841-A07F527F546D}"/>
    <cellStyle name="Normal 5 2 3 2 9" xfId="4798" xr:uid="{00000000-0005-0000-0000-000083180000}"/>
    <cellStyle name="Normal 5 2 3 2 9 2" xfId="13293" xr:uid="{FA4CCA1E-A09D-4BD2-968A-37768427591C}"/>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56" xr:uid="{2FCD1B63-8A01-4710-B604-CCAD17EA81B2}"/>
    <cellStyle name="Normal 5 2 3 3 2 2 2 3" xfId="11643" xr:uid="{B41D1120-5966-4BE5-B7D6-4C044AB2A831}"/>
    <cellStyle name="Normal 5 2 3 3 2 2 3" xfId="5216" xr:uid="{00000000-0005-0000-0000-000089180000}"/>
    <cellStyle name="Normal 5 2 3 3 2 2 3 2" xfId="13711" xr:uid="{10731FED-4C5B-4660-9D02-F7840B390CCC}"/>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69" xr:uid="{373D8D6E-363E-4EE0-A9C9-D3BE4EE0A23F}"/>
    <cellStyle name="Normal 5 2 3 3 2 3 2 3" xfId="12056" xr:uid="{8F8899AA-ECDB-41FE-9215-6F37F56D8A2E}"/>
    <cellStyle name="Normal 5 2 3 3 2 3 3" xfId="5629" xr:uid="{00000000-0005-0000-0000-00008D180000}"/>
    <cellStyle name="Normal 5 2 3 3 2 3 3 2" xfId="14124" xr:uid="{5B7FCBEA-AA41-4AF1-8A71-6D22324BB158}"/>
    <cellStyle name="Normal 5 2 3 3 2 3 4" xfId="9911" xr:uid="{C8E88461-6D03-47EF-ABC0-1BF583799BEE}"/>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82" xr:uid="{1BBA42A2-724B-40C7-91EE-00A4B69CF24D}"/>
    <cellStyle name="Normal 5 2 3 3 2 4 2 3" xfId="12469" xr:uid="{24D3705F-FED2-440D-AE80-D2BCEC0B888E}"/>
    <cellStyle name="Normal 5 2 3 3 2 4 3" xfId="6042" xr:uid="{00000000-0005-0000-0000-000091180000}"/>
    <cellStyle name="Normal 5 2 3 3 2 4 3 2" xfId="14537" xr:uid="{C3FB0B95-FCF5-475A-88E7-4ACB6BC94663}"/>
    <cellStyle name="Normal 5 2 3 3 2 4 4" xfId="10324" xr:uid="{84615909-60B7-40DF-BD5E-9E345F17C848}"/>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95" xr:uid="{52D19328-9656-48FC-BC5C-B34C97D5D353}"/>
    <cellStyle name="Normal 5 2 3 3 2 5 2 3" xfId="12882" xr:uid="{38EDC09A-D3B6-4369-A1FF-84233481883D}"/>
    <cellStyle name="Normal 5 2 3 3 2 5 3" xfId="6455" xr:uid="{00000000-0005-0000-0000-000095180000}"/>
    <cellStyle name="Normal 5 2 3 3 2 5 3 2" xfId="14950" xr:uid="{90AC4A42-9CE8-44A0-8236-DA1ADC7FEDF7}"/>
    <cellStyle name="Normal 5 2 3 3 2 5 4" xfId="10737" xr:uid="{0B97EC2B-D3B5-4489-ADC9-F0D8EA3770ED}"/>
    <cellStyle name="Normal 5 2 3 3 2 6" xfId="2585" xr:uid="{00000000-0005-0000-0000-000096180000}"/>
    <cellStyle name="Normal 5 2 3 3 2 6 2" xfId="6868" xr:uid="{00000000-0005-0000-0000-000097180000}"/>
    <cellStyle name="Normal 5 2 3 3 2 6 2 2" xfId="15363" xr:uid="{BE7707F1-CBF3-4CC7-AF9C-050C74204C75}"/>
    <cellStyle name="Normal 5 2 3 3 2 6 3" xfId="11150" xr:uid="{B553119A-5229-467F-954F-1C7B67B03E50}"/>
    <cellStyle name="Normal 5 2 3 3 2 7" xfId="4803" xr:uid="{00000000-0005-0000-0000-000098180000}"/>
    <cellStyle name="Normal 5 2 3 3 2 7 2" xfId="13298" xr:uid="{3B4F2CC0-B706-4951-8B5D-0258CF7216EC}"/>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55" xr:uid="{AE5E5535-B857-4FA3-96D2-BA26345A6851}"/>
    <cellStyle name="Normal 5 2 3 3 3 2 3" xfId="11642" xr:uid="{D68A0412-F094-48ED-BD9C-1C6254F44B84}"/>
    <cellStyle name="Normal 5 2 3 3 3 3" xfId="5215" xr:uid="{00000000-0005-0000-0000-00009C180000}"/>
    <cellStyle name="Normal 5 2 3 3 3 3 2" xfId="13710" xr:uid="{011E57B2-EB66-4B97-9066-C327115B1E35}"/>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68" xr:uid="{EC6A5ADE-2CBC-4877-8883-2CEFE9F83842}"/>
    <cellStyle name="Normal 5 2 3 3 4 2 3" xfId="12055" xr:uid="{4ED6CF3E-DEE1-4424-B69B-9F95F3177202}"/>
    <cellStyle name="Normal 5 2 3 3 4 3" xfId="5628" xr:uid="{00000000-0005-0000-0000-0000A0180000}"/>
    <cellStyle name="Normal 5 2 3 3 4 3 2" xfId="14123" xr:uid="{99143853-8ECD-4075-ACF0-5A0650A0CF77}"/>
    <cellStyle name="Normal 5 2 3 3 4 4" xfId="9910" xr:uid="{736E822A-84B8-4C0E-837E-CF379D2C6955}"/>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81" xr:uid="{BD5C39F9-FCD8-4D28-823A-3B821DFDE905}"/>
    <cellStyle name="Normal 5 2 3 3 5 2 3" xfId="12468" xr:uid="{213774AD-9104-47AA-8066-3F9A4140678E}"/>
    <cellStyle name="Normal 5 2 3 3 5 3" xfId="6041" xr:uid="{00000000-0005-0000-0000-0000A4180000}"/>
    <cellStyle name="Normal 5 2 3 3 5 3 2" xfId="14536" xr:uid="{4CDB04D7-04B3-4966-98F0-F51FD0FDA994}"/>
    <cellStyle name="Normal 5 2 3 3 5 4" xfId="10323" xr:uid="{1FCFBA6C-F861-406A-AEDE-CAD1FFD617E8}"/>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94" xr:uid="{38E43C03-6119-449F-90C8-B107009AD332}"/>
    <cellStyle name="Normal 5 2 3 3 6 2 3" xfId="12881" xr:uid="{FA454524-7C7F-48CD-98FD-5CE7A30A0685}"/>
    <cellStyle name="Normal 5 2 3 3 6 3" xfId="6454" xr:uid="{00000000-0005-0000-0000-0000A8180000}"/>
    <cellStyle name="Normal 5 2 3 3 6 3 2" xfId="14949" xr:uid="{CC38F78C-7ACD-4DFC-B738-9167ACBF1549}"/>
    <cellStyle name="Normal 5 2 3 3 6 4" xfId="10736" xr:uid="{0886B97D-2D06-43F8-B56D-98A1B584DE41}"/>
    <cellStyle name="Normal 5 2 3 3 7" xfId="2584" xr:uid="{00000000-0005-0000-0000-0000A9180000}"/>
    <cellStyle name="Normal 5 2 3 3 7 2" xfId="6867" xr:uid="{00000000-0005-0000-0000-0000AA180000}"/>
    <cellStyle name="Normal 5 2 3 3 7 2 2" xfId="15362" xr:uid="{1041C411-BF5E-4606-804A-5B6652E36AAC}"/>
    <cellStyle name="Normal 5 2 3 3 7 3" xfId="11149" xr:uid="{6E163D24-3F00-4930-8125-9D1C2BB134C7}"/>
    <cellStyle name="Normal 5 2 3 3 8" xfId="4802" xr:uid="{00000000-0005-0000-0000-0000AB180000}"/>
    <cellStyle name="Normal 5 2 3 3 8 2" xfId="13297" xr:uid="{7FCE3D62-E271-4A4B-A9F7-3C32C8DBE208}"/>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57" xr:uid="{EB049B4F-8284-4886-8783-34A1ACC1B07E}"/>
    <cellStyle name="Normal 5 2 3 4 2 2 3" xfId="11644" xr:uid="{C00A54CF-BE3C-4BDB-9B15-B79E3DBDBEFD}"/>
    <cellStyle name="Normal 5 2 3 4 2 3" xfId="5217" xr:uid="{00000000-0005-0000-0000-0000B0180000}"/>
    <cellStyle name="Normal 5 2 3 4 2 3 2" xfId="13712" xr:uid="{8E420B6C-7372-4D79-875D-C0C9C5AC4E3E}"/>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70" xr:uid="{9684A41B-119D-4F2A-BCA3-D13351DA172D}"/>
    <cellStyle name="Normal 5 2 3 4 3 2 3" xfId="12057" xr:uid="{D6486363-66E4-49F0-9B4F-0ABEDC737577}"/>
    <cellStyle name="Normal 5 2 3 4 3 3" xfId="5630" xr:uid="{00000000-0005-0000-0000-0000B4180000}"/>
    <cellStyle name="Normal 5 2 3 4 3 3 2" xfId="14125" xr:uid="{97E625D0-9007-41A7-906C-38C71D6EEE4A}"/>
    <cellStyle name="Normal 5 2 3 4 3 4" xfId="9912" xr:uid="{4396EA60-0C8F-4A99-BCE6-6295B2880E5D}"/>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83" xr:uid="{B7E26BAF-0DB1-41ED-939A-EFBF4CB09933}"/>
    <cellStyle name="Normal 5 2 3 4 4 2 3" xfId="12470" xr:uid="{7E65AD01-47CA-4F38-AE77-11B0B9D936F9}"/>
    <cellStyle name="Normal 5 2 3 4 4 3" xfId="6043" xr:uid="{00000000-0005-0000-0000-0000B8180000}"/>
    <cellStyle name="Normal 5 2 3 4 4 3 2" xfId="14538" xr:uid="{8B5AEBEE-0B57-4C82-877C-9B744F06D072}"/>
    <cellStyle name="Normal 5 2 3 4 4 4" xfId="10325" xr:uid="{2847677B-8DFD-4D21-8964-049AD6173F5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96" xr:uid="{4C21B167-4C23-41B8-99C3-DE2F1F487ACF}"/>
    <cellStyle name="Normal 5 2 3 4 5 2 3" xfId="12883" xr:uid="{C621A499-8F11-440A-A1DA-099C0A036A95}"/>
    <cellStyle name="Normal 5 2 3 4 5 3" xfId="6456" xr:uid="{00000000-0005-0000-0000-0000BC180000}"/>
    <cellStyle name="Normal 5 2 3 4 5 3 2" xfId="14951" xr:uid="{48AF0F35-0EEE-48BE-AB1B-F570F0ECE131}"/>
    <cellStyle name="Normal 5 2 3 4 5 4" xfId="10738" xr:uid="{4A9126C7-ACBF-47F6-86FE-A4048989023B}"/>
    <cellStyle name="Normal 5 2 3 4 6" xfId="2586" xr:uid="{00000000-0005-0000-0000-0000BD180000}"/>
    <cellStyle name="Normal 5 2 3 4 6 2" xfId="6869" xr:uid="{00000000-0005-0000-0000-0000BE180000}"/>
    <cellStyle name="Normal 5 2 3 4 6 2 2" xfId="15364" xr:uid="{2776EA7B-6C3B-41BF-9CAC-D06909D3293A}"/>
    <cellStyle name="Normal 5 2 3 4 6 3" xfId="11151" xr:uid="{3C3E570D-216C-40E0-852A-7AD942F33BB1}"/>
    <cellStyle name="Normal 5 2 3 4 7" xfId="4804" xr:uid="{00000000-0005-0000-0000-0000BF180000}"/>
    <cellStyle name="Normal 5 2 3 4 7 2" xfId="13299" xr:uid="{B285F297-242D-46F7-A3DE-03B9D7C74BF5}"/>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2 2 2" xfId="15850" xr:uid="{BE90D7C9-DD46-4267-A5BB-DA770F287647}"/>
    <cellStyle name="Normal 5 2 3 5 2 3" xfId="11637" xr:uid="{8C7C0053-98AB-43A1-AF2B-F8DC372639EC}"/>
    <cellStyle name="Normal 5 2 3 5 3" xfId="5210" xr:uid="{00000000-0005-0000-0000-0000C3180000}"/>
    <cellStyle name="Normal 5 2 3 5 3 2" xfId="13705" xr:uid="{89A01F55-1AF5-4729-8618-FEF96B2EA3E8}"/>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2 2 2" xfId="16263" xr:uid="{413117A8-B456-442D-B678-9202283FB23F}"/>
    <cellStyle name="Normal 5 2 3 6 2 3" xfId="12050" xr:uid="{7C03FA9A-59A7-47F1-A74A-B28F94E293C2}"/>
    <cellStyle name="Normal 5 2 3 6 3" xfId="5623" xr:uid="{00000000-0005-0000-0000-0000C7180000}"/>
    <cellStyle name="Normal 5 2 3 6 3 2" xfId="14118" xr:uid="{A7AB76C3-3400-411A-88B1-C31CD21D2453}"/>
    <cellStyle name="Normal 5 2 3 6 4" xfId="9905" xr:uid="{56CE8614-1869-49BB-9372-A639EE60C6E9}"/>
    <cellStyle name="Normal 5 2 3 7" xfId="1729" xr:uid="{00000000-0005-0000-0000-0000C8180000}"/>
    <cellStyle name="Normal 5 2 3 7 2" xfId="3959" xr:uid="{00000000-0005-0000-0000-0000C9180000}"/>
    <cellStyle name="Normal 5 2 3 7 2 2" xfId="8181" xr:uid="{00000000-0005-0000-0000-0000CA180000}"/>
    <cellStyle name="Normal 5 2 3 7 2 2 2" xfId="16676" xr:uid="{17EEBE34-EEC0-47FF-BFFD-7049ECA9F465}"/>
    <cellStyle name="Normal 5 2 3 7 2 3" xfId="12463" xr:uid="{2C099ACE-F878-415A-873B-539B6D1A4278}"/>
    <cellStyle name="Normal 5 2 3 7 3" xfId="6036" xr:uid="{00000000-0005-0000-0000-0000CB180000}"/>
    <cellStyle name="Normal 5 2 3 7 3 2" xfId="14531" xr:uid="{6FC48D7C-84E8-4868-8564-30D14B5B7FE9}"/>
    <cellStyle name="Normal 5 2 3 7 4" xfId="10318" xr:uid="{2371BDD5-1C2D-4825-B6FD-B2D0E7699BA1}"/>
    <cellStyle name="Normal 5 2 3 8" xfId="2143" xr:uid="{00000000-0005-0000-0000-0000CC180000}"/>
    <cellStyle name="Normal 5 2 3 8 2" xfId="4372" xr:uid="{00000000-0005-0000-0000-0000CD180000}"/>
    <cellStyle name="Normal 5 2 3 8 2 2" xfId="8594" xr:uid="{00000000-0005-0000-0000-0000CE180000}"/>
    <cellStyle name="Normal 5 2 3 8 2 2 2" xfId="17089" xr:uid="{720D195F-0FBB-4B13-8A25-F9E21C43B802}"/>
    <cellStyle name="Normal 5 2 3 8 2 3" xfId="12876" xr:uid="{AAA6ACA1-483D-4D20-809E-6A4BD8F0602B}"/>
    <cellStyle name="Normal 5 2 3 8 3" xfId="6449" xr:uid="{00000000-0005-0000-0000-0000CF180000}"/>
    <cellStyle name="Normal 5 2 3 8 3 2" xfId="14944" xr:uid="{C90BA62D-94E8-425C-9203-C2EE9CC678FF}"/>
    <cellStyle name="Normal 5 2 3 8 4" xfId="10731" xr:uid="{316E755B-EA49-4D65-AD10-DBE61A6C9F21}"/>
    <cellStyle name="Normal 5 2 3 9" xfId="2579" xr:uid="{00000000-0005-0000-0000-0000D0180000}"/>
    <cellStyle name="Normal 5 2 3 9 2" xfId="6862" xr:uid="{00000000-0005-0000-0000-0000D1180000}"/>
    <cellStyle name="Normal 5 2 3 9 2 2" xfId="15357" xr:uid="{8CD36036-2791-4AE8-AAA1-5BD1D59DC751}"/>
    <cellStyle name="Normal 5 2 3 9 3" xfId="11144" xr:uid="{38785097-5AA7-43DD-986A-0C4EAF4D1D46}"/>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60" xr:uid="{12CF6923-E3CA-4369-8F34-43659D76EC2B}"/>
    <cellStyle name="Normal 5 2 4 2 2 2 2 3" xfId="11647" xr:uid="{D31D606D-5C89-47FC-A773-CABC942A9B5A}"/>
    <cellStyle name="Normal 5 2 4 2 2 2 3" xfId="5220" xr:uid="{00000000-0005-0000-0000-0000D8180000}"/>
    <cellStyle name="Normal 5 2 4 2 2 2 3 2" xfId="13715" xr:uid="{B54F041D-C9B2-475D-AA42-1825DFA89CCB}"/>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73" xr:uid="{51B18AB2-CE87-4050-B74F-11758CCFC015}"/>
    <cellStyle name="Normal 5 2 4 2 2 3 2 3" xfId="12060" xr:uid="{7F599622-9F8F-4205-9F9E-94894E12194C}"/>
    <cellStyle name="Normal 5 2 4 2 2 3 3" xfId="5633" xr:uid="{00000000-0005-0000-0000-0000DC180000}"/>
    <cellStyle name="Normal 5 2 4 2 2 3 3 2" xfId="14128" xr:uid="{0752A5A3-7402-4B32-8D75-D4D7DEC4BB1A}"/>
    <cellStyle name="Normal 5 2 4 2 2 3 4" xfId="9915" xr:uid="{14295D3D-1E8E-455E-AF51-B1114B2E165B}"/>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86" xr:uid="{87EA954D-9B0D-4B69-81BE-9B824EFF5646}"/>
    <cellStyle name="Normal 5 2 4 2 2 4 2 3" xfId="12473" xr:uid="{D9F95AA0-1B94-4DB6-99A0-D31EC12BBF24}"/>
    <cellStyle name="Normal 5 2 4 2 2 4 3" xfId="6046" xr:uid="{00000000-0005-0000-0000-0000E0180000}"/>
    <cellStyle name="Normal 5 2 4 2 2 4 3 2" xfId="14541" xr:uid="{7F23A8CF-D757-43BA-93C2-6374D1568F8E}"/>
    <cellStyle name="Normal 5 2 4 2 2 4 4" xfId="10328" xr:uid="{1AF824FA-2B3B-4E0B-9F46-BD3AF358FD7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99" xr:uid="{50BD1B44-4854-4365-A6AD-D7163A8FC9DB}"/>
    <cellStyle name="Normal 5 2 4 2 2 5 2 3" xfId="12886" xr:uid="{F02EFF65-672E-4746-BAA6-1A7A021FDAAD}"/>
    <cellStyle name="Normal 5 2 4 2 2 5 3" xfId="6459" xr:uid="{00000000-0005-0000-0000-0000E4180000}"/>
    <cellStyle name="Normal 5 2 4 2 2 5 3 2" xfId="14954" xr:uid="{2EB14E99-CFA9-4674-A797-E50685290CE8}"/>
    <cellStyle name="Normal 5 2 4 2 2 5 4" xfId="10741" xr:uid="{F6D177F1-5F59-4898-B5BC-C9AFF69901A2}"/>
    <cellStyle name="Normal 5 2 4 2 2 6" xfId="2589" xr:uid="{00000000-0005-0000-0000-0000E5180000}"/>
    <cellStyle name="Normal 5 2 4 2 2 6 2" xfId="6872" xr:uid="{00000000-0005-0000-0000-0000E6180000}"/>
    <cellStyle name="Normal 5 2 4 2 2 6 2 2" xfId="15367" xr:uid="{14806498-CC62-4A2B-82E2-9E0789735DD7}"/>
    <cellStyle name="Normal 5 2 4 2 2 6 3" xfId="11154" xr:uid="{4FD1DB52-3C32-4C94-A1E8-E1AB69A7489C}"/>
    <cellStyle name="Normal 5 2 4 2 2 7" xfId="4807" xr:uid="{00000000-0005-0000-0000-0000E7180000}"/>
    <cellStyle name="Normal 5 2 4 2 2 7 2" xfId="13302" xr:uid="{17FE0396-E7CA-496A-B1D6-A3E4FC130F4B}"/>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59" xr:uid="{F88466E3-692B-45D4-8F62-A83897DE4B74}"/>
    <cellStyle name="Normal 5 2 4 2 3 2 3" xfId="11646" xr:uid="{65C3A7F8-324D-4662-A622-C2E4371D82A6}"/>
    <cellStyle name="Normal 5 2 4 2 3 3" xfId="5219" xr:uid="{00000000-0005-0000-0000-0000EB180000}"/>
    <cellStyle name="Normal 5 2 4 2 3 3 2" xfId="13714" xr:uid="{0EA53723-C6E4-4BB0-AE01-DFE8B3BE937D}"/>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72" xr:uid="{493F46D4-5C97-42F1-BAAA-09E54EB01455}"/>
    <cellStyle name="Normal 5 2 4 2 4 2 3" xfId="12059" xr:uid="{27683B7F-BEA9-4DE0-9E4D-930A5A61533A}"/>
    <cellStyle name="Normal 5 2 4 2 4 3" xfId="5632" xr:uid="{00000000-0005-0000-0000-0000EF180000}"/>
    <cellStyle name="Normal 5 2 4 2 4 3 2" xfId="14127" xr:uid="{EB649ACA-ABF1-45FA-B677-B622D73DEC24}"/>
    <cellStyle name="Normal 5 2 4 2 4 4" xfId="9914" xr:uid="{223FF561-A3D7-4301-9D83-C4CAC4831947}"/>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85" xr:uid="{6E629754-54BB-4D2A-901D-A7D31898145B}"/>
    <cellStyle name="Normal 5 2 4 2 5 2 3" xfId="12472" xr:uid="{D912A866-0E30-4FE0-802E-D034B8B32EE3}"/>
    <cellStyle name="Normal 5 2 4 2 5 3" xfId="6045" xr:uid="{00000000-0005-0000-0000-0000F3180000}"/>
    <cellStyle name="Normal 5 2 4 2 5 3 2" xfId="14540" xr:uid="{EE35CB79-30B2-4F37-9A86-93A74BBA2A60}"/>
    <cellStyle name="Normal 5 2 4 2 5 4" xfId="10327" xr:uid="{8BC395B6-AD43-432F-A8D0-57E520079375}"/>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98" xr:uid="{BF480C02-ABB6-4985-BA14-7F6A22345FD0}"/>
    <cellStyle name="Normal 5 2 4 2 6 2 3" xfId="12885" xr:uid="{54C70A1D-7EC3-47D0-AA52-3CFF875EE197}"/>
    <cellStyle name="Normal 5 2 4 2 6 3" xfId="6458" xr:uid="{00000000-0005-0000-0000-0000F7180000}"/>
    <cellStyle name="Normal 5 2 4 2 6 3 2" xfId="14953" xr:uid="{D516E94D-DB45-4522-876A-C51E14304373}"/>
    <cellStyle name="Normal 5 2 4 2 6 4" xfId="10740" xr:uid="{B5E37146-985B-4A21-8D56-F06D0728D6FE}"/>
    <cellStyle name="Normal 5 2 4 2 7" xfId="2588" xr:uid="{00000000-0005-0000-0000-0000F8180000}"/>
    <cellStyle name="Normal 5 2 4 2 7 2" xfId="6871" xr:uid="{00000000-0005-0000-0000-0000F9180000}"/>
    <cellStyle name="Normal 5 2 4 2 7 2 2" xfId="15366" xr:uid="{06DF6A73-54DA-49AD-A72C-2954DEA8352C}"/>
    <cellStyle name="Normal 5 2 4 2 7 3" xfId="11153" xr:uid="{CE653019-D8CC-48B9-B7BD-6D2125AAFB0E}"/>
    <cellStyle name="Normal 5 2 4 2 8" xfId="4806" xr:uid="{00000000-0005-0000-0000-0000FA180000}"/>
    <cellStyle name="Normal 5 2 4 2 8 2" xfId="13301" xr:uid="{7E2181AD-1BE9-4710-9714-46BEC1ABEEB9}"/>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61" xr:uid="{B2750FFB-6CD8-4D8E-AFB8-2312CE15F707}"/>
    <cellStyle name="Normal 5 2 4 3 2 2 3" xfId="11648" xr:uid="{247DC878-18EE-4DCE-9134-29BC54C78678}"/>
    <cellStyle name="Normal 5 2 4 3 2 3" xfId="5221" xr:uid="{00000000-0005-0000-0000-0000FF180000}"/>
    <cellStyle name="Normal 5 2 4 3 2 3 2" xfId="13716" xr:uid="{15EC890A-0D5B-414D-A1E1-0D0577A13AAC}"/>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74" xr:uid="{7B57E267-9358-4CF8-8561-0B289AFA5E10}"/>
    <cellStyle name="Normal 5 2 4 3 3 2 3" xfId="12061" xr:uid="{D216FBEA-721E-48FA-98B1-6D71CD058273}"/>
    <cellStyle name="Normal 5 2 4 3 3 3" xfId="5634" xr:uid="{00000000-0005-0000-0000-000003190000}"/>
    <cellStyle name="Normal 5 2 4 3 3 3 2" xfId="14129" xr:uid="{E12686C5-48BC-48E7-82C9-A6A01EF0DE88}"/>
    <cellStyle name="Normal 5 2 4 3 3 4" xfId="9916" xr:uid="{7BAE2BB0-3430-4B38-B2E3-761A9F5486F9}"/>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87" xr:uid="{E6DBBC40-F104-403C-99AA-35BA3CAEC747}"/>
    <cellStyle name="Normal 5 2 4 3 4 2 3" xfId="12474" xr:uid="{A79AF28E-729D-48D8-863C-BB973B7DE663}"/>
    <cellStyle name="Normal 5 2 4 3 4 3" xfId="6047" xr:uid="{00000000-0005-0000-0000-000007190000}"/>
    <cellStyle name="Normal 5 2 4 3 4 3 2" xfId="14542" xr:uid="{6CE9DD97-A402-4DB8-BB36-9A32940E3457}"/>
    <cellStyle name="Normal 5 2 4 3 4 4" xfId="10329" xr:uid="{B9AD79BD-40DD-4323-9FE3-DD58716529E4}"/>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100" xr:uid="{535C3774-29AF-4BF1-BE57-1681095A56D3}"/>
    <cellStyle name="Normal 5 2 4 3 5 2 3" xfId="12887" xr:uid="{C5C4B9A0-2E76-4E91-89F6-945218849318}"/>
    <cellStyle name="Normal 5 2 4 3 5 3" xfId="6460" xr:uid="{00000000-0005-0000-0000-00000B190000}"/>
    <cellStyle name="Normal 5 2 4 3 5 3 2" xfId="14955" xr:uid="{CB9E1DCA-E59C-4322-8F4E-2D5DD142A831}"/>
    <cellStyle name="Normal 5 2 4 3 5 4" xfId="10742" xr:uid="{5B55AAC0-1964-4FA2-9D33-B7668DCE7E64}"/>
    <cellStyle name="Normal 5 2 4 3 6" xfId="2590" xr:uid="{00000000-0005-0000-0000-00000C190000}"/>
    <cellStyle name="Normal 5 2 4 3 6 2" xfId="6873" xr:uid="{00000000-0005-0000-0000-00000D190000}"/>
    <cellStyle name="Normal 5 2 4 3 6 2 2" xfId="15368" xr:uid="{677DE1B7-B83A-4181-AC61-A6198175F4BB}"/>
    <cellStyle name="Normal 5 2 4 3 6 3" xfId="11155" xr:uid="{CB667D5D-E33C-4221-886D-70A562A554F4}"/>
    <cellStyle name="Normal 5 2 4 3 7" xfId="4808" xr:uid="{00000000-0005-0000-0000-00000E190000}"/>
    <cellStyle name="Normal 5 2 4 3 7 2" xfId="13303" xr:uid="{5D4B7EFD-99EB-40D5-BE8C-6644FE0EDCFB}"/>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2 2 2" xfId="15858" xr:uid="{DE50CA78-80F9-4165-8151-CEC6A54DB938}"/>
    <cellStyle name="Normal 5 2 4 4 2 3" xfId="11645" xr:uid="{BAF5166F-AF11-4173-A5EC-4F91FC5776D1}"/>
    <cellStyle name="Normal 5 2 4 4 3" xfId="5218" xr:uid="{00000000-0005-0000-0000-000012190000}"/>
    <cellStyle name="Normal 5 2 4 4 3 2" xfId="13713" xr:uid="{3FF5C12D-2E46-473C-945F-E1E838997544}"/>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2 2 2" xfId="16271" xr:uid="{9C9B2D64-03A4-49D1-9617-457ECCDF5F0C}"/>
    <cellStyle name="Normal 5 2 4 5 2 3" xfId="12058" xr:uid="{B45B9DA9-ED3B-4108-B5B4-E7CCD4420F89}"/>
    <cellStyle name="Normal 5 2 4 5 3" xfId="5631" xr:uid="{00000000-0005-0000-0000-000016190000}"/>
    <cellStyle name="Normal 5 2 4 5 3 2" xfId="14126" xr:uid="{2EB0E81E-C1FB-4C63-9F75-5A08D221AFD0}"/>
    <cellStyle name="Normal 5 2 4 5 4" xfId="9913" xr:uid="{D09BC491-3721-4859-BD69-57CBBCA0506F}"/>
    <cellStyle name="Normal 5 2 4 6" xfId="1737" xr:uid="{00000000-0005-0000-0000-000017190000}"/>
    <cellStyle name="Normal 5 2 4 6 2" xfId="3967" xr:uid="{00000000-0005-0000-0000-000018190000}"/>
    <cellStyle name="Normal 5 2 4 6 2 2" xfId="8189" xr:uid="{00000000-0005-0000-0000-000019190000}"/>
    <cellStyle name="Normal 5 2 4 6 2 2 2" xfId="16684" xr:uid="{0953D98E-1042-4804-9E53-2A56D734E2E4}"/>
    <cellStyle name="Normal 5 2 4 6 2 3" xfId="12471" xr:uid="{FB014E9D-7D26-498D-A15F-2F1532A588E0}"/>
    <cellStyle name="Normal 5 2 4 6 3" xfId="6044" xr:uid="{00000000-0005-0000-0000-00001A190000}"/>
    <cellStyle name="Normal 5 2 4 6 3 2" xfId="14539" xr:uid="{4BB18BAD-3697-4300-B587-A0207D79424F}"/>
    <cellStyle name="Normal 5 2 4 6 4" xfId="10326" xr:uid="{C10C247C-F08E-468C-BD26-D7259BE67DDB}"/>
    <cellStyle name="Normal 5 2 4 7" xfId="2151" xr:uid="{00000000-0005-0000-0000-00001B190000}"/>
    <cellStyle name="Normal 5 2 4 7 2" xfId="4380" xr:uid="{00000000-0005-0000-0000-00001C190000}"/>
    <cellStyle name="Normal 5 2 4 7 2 2" xfId="8602" xr:uid="{00000000-0005-0000-0000-00001D190000}"/>
    <cellStyle name="Normal 5 2 4 7 2 2 2" xfId="17097" xr:uid="{834D6897-62A1-4E1A-AB0B-CDB946F3A97B}"/>
    <cellStyle name="Normal 5 2 4 7 2 3" xfId="12884" xr:uid="{A4CBDF32-B206-4180-96A0-DE92307ECF46}"/>
    <cellStyle name="Normal 5 2 4 7 3" xfId="6457" xr:uid="{00000000-0005-0000-0000-00001E190000}"/>
    <cellStyle name="Normal 5 2 4 7 3 2" xfId="14952" xr:uid="{8BEAE88A-BFB4-4D73-87ED-E7E98ABAE9FA}"/>
    <cellStyle name="Normal 5 2 4 7 4" xfId="10739" xr:uid="{107E9317-0D49-4EFC-9C6F-EA5A454927F5}"/>
    <cellStyle name="Normal 5 2 4 8" xfId="2587" xr:uid="{00000000-0005-0000-0000-00001F190000}"/>
    <cellStyle name="Normal 5 2 4 8 2" xfId="6870" xr:uid="{00000000-0005-0000-0000-000020190000}"/>
    <cellStyle name="Normal 5 2 4 8 2 2" xfId="15365" xr:uid="{D5021B28-D8C9-488C-B167-8A524C483BFF}"/>
    <cellStyle name="Normal 5 2 4 8 3" xfId="11152" xr:uid="{9E34EC01-75FB-4768-BFF5-D03AFEC36FCD}"/>
    <cellStyle name="Normal 5 2 4 9" xfId="4805" xr:uid="{00000000-0005-0000-0000-000021190000}"/>
    <cellStyle name="Normal 5 2 4 9 2" xfId="13300" xr:uid="{C115AABB-6C4F-4C36-9CE4-F71CA2EFB17F}"/>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63" xr:uid="{324CCEA1-DBF0-4DF3-9F52-118D45FCFC9D}"/>
    <cellStyle name="Normal 5 2 5 2 2 2 3" xfId="11650" xr:uid="{0935D97E-6412-487E-AF87-19566670ED23}"/>
    <cellStyle name="Normal 5 2 5 2 2 3" xfId="5223" xr:uid="{00000000-0005-0000-0000-000027190000}"/>
    <cellStyle name="Normal 5 2 5 2 2 3 2" xfId="13718" xr:uid="{C953E6F5-3CF0-4421-A408-672D597F7ED9}"/>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76" xr:uid="{9789C72F-BF0E-4503-8E2F-7ED89D98FC15}"/>
    <cellStyle name="Normal 5 2 5 2 3 2 3" xfId="12063" xr:uid="{A74CECA5-5180-421A-8BB7-8C0898618643}"/>
    <cellStyle name="Normal 5 2 5 2 3 3" xfId="5636" xr:uid="{00000000-0005-0000-0000-00002B190000}"/>
    <cellStyle name="Normal 5 2 5 2 3 3 2" xfId="14131" xr:uid="{193FFEC2-BC6E-4B92-B794-91EDF8238A92}"/>
    <cellStyle name="Normal 5 2 5 2 3 4" xfId="9918" xr:uid="{3FBF1DC8-1BA8-4636-9700-0C0657E9BBA8}"/>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89" xr:uid="{99E08213-0A6C-4D44-A0B2-2CA8951A8BA4}"/>
    <cellStyle name="Normal 5 2 5 2 4 2 3" xfId="12476" xr:uid="{3F3909F0-C637-4778-B4D5-3C76C9817622}"/>
    <cellStyle name="Normal 5 2 5 2 4 3" xfId="6049" xr:uid="{00000000-0005-0000-0000-00002F190000}"/>
    <cellStyle name="Normal 5 2 5 2 4 3 2" xfId="14544" xr:uid="{6BC7CFD2-879F-484E-89E1-429BE50550EE}"/>
    <cellStyle name="Normal 5 2 5 2 4 4" xfId="10331" xr:uid="{15A17BF1-0501-4AB5-A881-54E07FB6D06A}"/>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102" xr:uid="{C4150382-C637-442B-B232-6C95D5E4C00F}"/>
    <cellStyle name="Normal 5 2 5 2 5 2 3" xfId="12889" xr:uid="{382E6CED-57E4-4DA9-8E98-226C2FE4E7DD}"/>
    <cellStyle name="Normal 5 2 5 2 5 3" xfId="6462" xr:uid="{00000000-0005-0000-0000-000033190000}"/>
    <cellStyle name="Normal 5 2 5 2 5 3 2" xfId="14957" xr:uid="{FB511CCF-FED6-4FC9-87B3-D860C8105953}"/>
    <cellStyle name="Normal 5 2 5 2 5 4" xfId="10744" xr:uid="{750E2568-6258-40A5-93F7-97AC21A8D88D}"/>
    <cellStyle name="Normal 5 2 5 2 6" xfId="2592" xr:uid="{00000000-0005-0000-0000-000034190000}"/>
    <cellStyle name="Normal 5 2 5 2 6 2" xfId="6875" xr:uid="{00000000-0005-0000-0000-000035190000}"/>
    <cellStyle name="Normal 5 2 5 2 6 2 2" xfId="15370" xr:uid="{1E4A4C0B-2B9C-4F20-844A-0302F308471F}"/>
    <cellStyle name="Normal 5 2 5 2 6 3" xfId="11157" xr:uid="{F7D5242F-D186-434D-A0D4-97831DDE00C5}"/>
    <cellStyle name="Normal 5 2 5 2 7" xfId="4810" xr:uid="{00000000-0005-0000-0000-000036190000}"/>
    <cellStyle name="Normal 5 2 5 2 7 2" xfId="13305" xr:uid="{0146A0FC-7810-4FEA-94B2-38E09ADD79A4}"/>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2 2 2" xfId="15862" xr:uid="{5BFB87BC-F231-4817-9D27-208723409E40}"/>
    <cellStyle name="Normal 5 2 5 3 2 3" xfId="11649" xr:uid="{188267E7-1620-4215-A072-245B867B9997}"/>
    <cellStyle name="Normal 5 2 5 3 3" xfId="5222" xr:uid="{00000000-0005-0000-0000-00003A190000}"/>
    <cellStyle name="Normal 5 2 5 3 3 2" xfId="13717" xr:uid="{B02E9FF1-ED68-4204-9A98-EAEE2B81F9E4}"/>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2 2 2" xfId="16275" xr:uid="{F68A69A2-525B-4F86-8ED0-5B565B5B43D3}"/>
    <cellStyle name="Normal 5 2 5 4 2 3" xfId="12062" xr:uid="{67FE32F7-AB73-4F7F-8534-26FA9A9090D7}"/>
    <cellStyle name="Normal 5 2 5 4 3" xfId="5635" xr:uid="{00000000-0005-0000-0000-00003E190000}"/>
    <cellStyle name="Normal 5 2 5 4 3 2" xfId="14130" xr:uid="{15F04FEC-37A6-436E-94FF-B819DFC6488D}"/>
    <cellStyle name="Normal 5 2 5 4 4" xfId="9917" xr:uid="{0B849463-85DA-4F64-924B-869F3D10B049}"/>
    <cellStyle name="Normal 5 2 5 5" xfId="1741" xr:uid="{00000000-0005-0000-0000-00003F190000}"/>
    <cellStyle name="Normal 5 2 5 5 2" xfId="3971" xr:uid="{00000000-0005-0000-0000-000040190000}"/>
    <cellStyle name="Normal 5 2 5 5 2 2" xfId="8193" xr:uid="{00000000-0005-0000-0000-000041190000}"/>
    <cellStyle name="Normal 5 2 5 5 2 2 2" xfId="16688" xr:uid="{B2ABB212-E42A-4234-9679-E98428619284}"/>
    <cellStyle name="Normal 5 2 5 5 2 3" xfId="12475" xr:uid="{6EEF52D2-3AE4-4B2B-B836-5BB9AEF198F5}"/>
    <cellStyle name="Normal 5 2 5 5 3" xfId="6048" xr:uid="{00000000-0005-0000-0000-000042190000}"/>
    <cellStyle name="Normal 5 2 5 5 3 2" xfId="14543" xr:uid="{E6ABA80D-C8AB-47A0-BC7F-703056D127D7}"/>
    <cellStyle name="Normal 5 2 5 5 4" xfId="10330" xr:uid="{8FDD8E6E-D16B-40E8-84F2-3785202B6904}"/>
    <cellStyle name="Normal 5 2 5 6" xfId="2155" xr:uid="{00000000-0005-0000-0000-000043190000}"/>
    <cellStyle name="Normal 5 2 5 6 2" xfId="4384" xr:uid="{00000000-0005-0000-0000-000044190000}"/>
    <cellStyle name="Normal 5 2 5 6 2 2" xfId="8606" xr:uid="{00000000-0005-0000-0000-000045190000}"/>
    <cellStyle name="Normal 5 2 5 6 2 2 2" xfId="17101" xr:uid="{80105B3B-1586-47C4-AB79-6F65DF1A4A5E}"/>
    <cellStyle name="Normal 5 2 5 6 2 3" xfId="12888" xr:uid="{62F8B6F0-DD55-4C84-92F3-27B5AA4CA4D5}"/>
    <cellStyle name="Normal 5 2 5 6 3" xfId="6461" xr:uid="{00000000-0005-0000-0000-000046190000}"/>
    <cellStyle name="Normal 5 2 5 6 3 2" xfId="14956" xr:uid="{43B784B0-E51B-4D40-9952-D3AFC4CBBB29}"/>
    <cellStyle name="Normal 5 2 5 6 4" xfId="10743" xr:uid="{F6CBD2DE-E204-429F-A2B1-550EE5F2047D}"/>
    <cellStyle name="Normal 5 2 5 7" xfId="2591" xr:uid="{00000000-0005-0000-0000-000047190000}"/>
    <cellStyle name="Normal 5 2 5 7 2" xfId="6874" xr:uid="{00000000-0005-0000-0000-000048190000}"/>
    <cellStyle name="Normal 5 2 5 7 2 2" xfId="15369" xr:uid="{73161B83-3489-4E9E-B6E4-DA9E5FD8F9AA}"/>
    <cellStyle name="Normal 5 2 5 7 3" xfId="11156" xr:uid="{A113D3DE-380F-4036-8341-2ED499DA9177}"/>
    <cellStyle name="Normal 5 2 5 8" xfId="4809" xr:uid="{00000000-0005-0000-0000-000049190000}"/>
    <cellStyle name="Normal 5 2 5 8 2" xfId="13304" xr:uid="{51099D60-9F11-4E90-8675-328B2F5C3F55}"/>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64" xr:uid="{4B9CD079-6ED7-4665-BB86-FB1BC6C1102B}"/>
    <cellStyle name="Normal 5 2 6 2 2 3" xfId="11651" xr:uid="{04B6BC40-3E02-4168-914F-639F3695C3B3}"/>
    <cellStyle name="Normal 5 2 6 2 3" xfId="5224" xr:uid="{00000000-0005-0000-0000-00004E190000}"/>
    <cellStyle name="Normal 5 2 6 2 3 2" xfId="13719" xr:uid="{1B862104-21F6-45BC-B986-E511699B0A24}"/>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2 2 2" xfId="16277" xr:uid="{65DBD6CB-2499-425D-82C8-3FB48D757A5D}"/>
    <cellStyle name="Normal 5 2 6 3 2 3" xfId="12064" xr:uid="{59BCC2DB-8698-4DB2-9070-A80D12025EF0}"/>
    <cellStyle name="Normal 5 2 6 3 3" xfId="5637" xr:uid="{00000000-0005-0000-0000-000052190000}"/>
    <cellStyle name="Normal 5 2 6 3 3 2" xfId="14132" xr:uid="{ED59BB0D-ABBB-4A1E-816E-FC29D63DDB9A}"/>
    <cellStyle name="Normal 5 2 6 3 4" xfId="9919" xr:uid="{018B0BFB-DE72-4699-9123-73A22CF127FD}"/>
    <cellStyle name="Normal 5 2 6 4" xfId="1743" xr:uid="{00000000-0005-0000-0000-000053190000}"/>
    <cellStyle name="Normal 5 2 6 4 2" xfId="3973" xr:uid="{00000000-0005-0000-0000-000054190000}"/>
    <cellStyle name="Normal 5 2 6 4 2 2" xfId="8195" xr:uid="{00000000-0005-0000-0000-000055190000}"/>
    <cellStyle name="Normal 5 2 6 4 2 2 2" xfId="16690" xr:uid="{BEE949CA-D448-45B7-877C-C0C0A8A1E9C8}"/>
    <cellStyle name="Normal 5 2 6 4 2 3" xfId="12477" xr:uid="{57F9EA43-54FC-4D5F-B63E-95CE97056F29}"/>
    <cellStyle name="Normal 5 2 6 4 3" xfId="6050" xr:uid="{00000000-0005-0000-0000-000056190000}"/>
    <cellStyle name="Normal 5 2 6 4 3 2" xfId="14545" xr:uid="{513088D0-C8E1-4EEE-980E-E3523DE0E59A}"/>
    <cellStyle name="Normal 5 2 6 4 4" xfId="10332" xr:uid="{B416AA17-29B7-42C4-BE1D-3F74F9A07B82}"/>
    <cellStyle name="Normal 5 2 6 5" xfId="2157" xr:uid="{00000000-0005-0000-0000-000057190000}"/>
    <cellStyle name="Normal 5 2 6 5 2" xfId="4386" xr:uid="{00000000-0005-0000-0000-000058190000}"/>
    <cellStyle name="Normal 5 2 6 5 2 2" xfId="8608" xr:uid="{00000000-0005-0000-0000-000059190000}"/>
    <cellStyle name="Normal 5 2 6 5 2 2 2" xfId="17103" xr:uid="{8B43E93D-CAB9-447B-A8BD-E5F4963E9D9F}"/>
    <cellStyle name="Normal 5 2 6 5 2 3" xfId="12890" xr:uid="{4B2B21CE-FDFC-45FA-98C1-B08F6BE43373}"/>
    <cellStyle name="Normal 5 2 6 5 3" xfId="6463" xr:uid="{00000000-0005-0000-0000-00005A190000}"/>
    <cellStyle name="Normal 5 2 6 5 3 2" xfId="14958" xr:uid="{0B811A9E-2EBF-4E39-96A8-4C89C6DF7C86}"/>
    <cellStyle name="Normal 5 2 6 5 4" xfId="10745" xr:uid="{A81552EA-BAC8-4DDB-8045-05B67CCF21B4}"/>
    <cellStyle name="Normal 5 2 6 6" xfId="2593" xr:uid="{00000000-0005-0000-0000-00005B190000}"/>
    <cellStyle name="Normal 5 2 6 6 2" xfId="6876" xr:uid="{00000000-0005-0000-0000-00005C190000}"/>
    <cellStyle name="Normal 5 2 6 6 2 2" xfId="15371" xr:uid="{53E644C1-E918-4A56-AE78-9CE41C810872}"/>
    <cellStyle name="Normal 5 2 6 6 3" xfId="11158" xr:uid="{4D4A7228-06BF-4CBD-AAF6-0AF5961AD903}"/>
    <cellStyle name="Normal 5 2 6 7" xfId="4811" xr:uid="{00000000-0005-0000-0000-00005D190000}"/>
    <cellStyle name="Normal 5 2 6 7 2" xfId="13306" xr:uid="{2CF75757-300B-4C5C-A823-E0DB771911E7}"/>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2 2 2" xfId="15833" xr:uid="{E2F70C53-FE5C-4B78-902E-98D0F34FDAD7}"/>
    <cellStyle name="Normal 5 2 7 2 3" xfId="11620" xr:uid="{39B2A1A8-468A-450A-A49D-B65B21295109}"/>
    <cellStyle name="Normal 5 2 7 3" xfId="5193" xr:uid="{00000000-0005-0000-0000-000061190000}"/>
    <cellStyle name="Normal 5 2 7 3 2" xfId="13688" xr:uid="{90810280-1AC0-4488-AED9-B64511869158}"/>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2 2 2" xfId="16246" xr:uid="{9ED875C9-C0CC-4ECB-8ACE-179534774E30}"/>
    <cellStyle name="Normal 5 2 8 2 3" xfId="12033" xr:uid="{405BD09F-4D1D-4955-8878-A166D763A45E}"/>
    <cellStyle name="Normal 5 2 8 3" xfId="5606" xr:uid="{00000000-0005-0000-0000-000065190000}"/>
    <cellStyle name="Normal 5 2 8 3 2" xfId="14101" xr:uid="{FF62B4D2-E781-4AC9-930E-AB1F9ED80BA7}"/>
    <cellStyle name="Normal 5 2 8 4" xfId="9888" xr:uid="{D7958938-4278-4DBD-8F4E-F1A08DB1814F}"/>
    <cellStyle name="Normal 5 2 9" xfId="1712" xr:uid="{00000000-0005-0000-0000-000066190000}"/>
    <cellStyle name="Normal 5 2 9 2" xfId="3942" xr:uid="{00000000-0005-0000-0000-000067190000}"/>
    <cellStyle name="Normal 5 2 9 2 2" xfId="8164" xr:uid="{00000000-0005-0000-0000-000068190000}"/>
    <cellStyle name="Normal 5 2 9 2 2 2" xfId="16659" xr:uid="{769CD5E2-B900-4F29-A0AA-E34215F286F0}"/>
    <cellStyle name="Normal 5 2 9 2 3" xfId="12446" xr:uid="{88524627-F0ED-412E-B6F2-5203FB71B236}"/>
    <cellStyle name="Normal 5 2 9 3" xfId="6019" xr:uid="{00000000-0005-0000-0000-000069190000}"/>
    <cellStyle name="Normal 5 2 9 3 2" xfId="14514" xr:uid="{8CB047CE-7AE8-4B09-A6CA-6E9B359587CE}"/>
    <cellStyle name="Normal 5 2 9 4" xfId="10301" xr:uid="{1085C354-A29E-4137-8893-72CFB0D7A45C}"/>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104" xr:uid="{7FC69621-63C9-434F-9F48-20AB387AF6B4}"/>
    <cellStyle name="Normal 5 3 10 2 3" xfId="12891" xr:uid="{BA1070C4-1249-4B4E-85DF-DCC864AD658B}"/>
    <cellStyle name="Normal 5 3 10 3" xfId="6464" xr:uid="{00000000-0005-0000-0000-00006E190000}"/>
    <cellStyle name="Normal 5 3 10 3 2" xfId="14959" xr:uid="{67520867-392A-45A8-BFAB-DA04CA34CF32}"/>
    <cellStyle name="Normal 5 3 10 4" xfId="10746" xr:uid="{0180AE42-3EBF-4C7E-A16C-9FA3F4CDA4AE}"/>
    <cellStyle name="Normal 5 3 11" xfId="2594" xr:uid="{00000000-0005-0000-0000-00006F190000}"/>
    <cellStyle name="Normal 5 3 11 2" xfId="6877" xr:uid="{00000000-0005-0000-0000-000070190000}"/>
    <cellStyle name="Normal 5 3 11 2 2" xfId="15372" xr:uid="{C57C761D-09D0-47F9-AEB9-20728BE705B3}"/>
    <cellStyle name="Normal 5 3 11 3" xfId="11159" xr:uid="{A977ACF5-CECA-4C5F-ADB4-CADFC583656C}"/>
    <cellStyle name="Normal 5 3 12" xfId="4812" xr:uid="{00000000-0005-0000-0000-000071190000}"/>
    <cellStyle name="Normal 5 3 12 2" xfId="13307" xr:uid="{ADE86365-C7C2-47F8-AB1C-FA1CB187EA19}"/>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308" xr:uid="{5E946211-1797-431C-99FF-64B32269121A}"/>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69" xr:uid="{1F193BC2-4EF9-45B0-B180-7BD6A98CFBA2}"/>
    <cellStyle name="Normal 5 3 3 2 2 2 2 2 3" xfId="11656" xr:uid="{2FF01707-525A-47F5-B5ED-7CFC8FAD4EA4}"/>
    <cellStyle name="Normal 5 3 3 2 2 2 2 3" xfId="5229" xr:uid="{00000000-0005-0000-0000-00007C190000}"/>
    <cellStyle name="Normal 5 3 3 2 2 2 2 3 2" xfId="13724" xr:uid="{DCA8A7A9-9E8D-4FA9-A2F4-0B5F2EBFDDFF}"/>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82" xr:uid="{740DDD8F-CB53-4C07-8647-7B63A120F15C}"/>
    <cellStyle name="Normal 5 3 3 2 2 2 3 2 3" xfId="12069" xr:uid="{216F389B-464D-4821-AE75-7466450825E2}"/>
    <cellStyle name="Normal 5 3 3 2 2 2 3 3" xfId="5642" xr:uid="{00000000-0005-0000-0000-000080190000}"/>
    <cellStyle name="Normal 5 3 3 2 2 2 3 3 2" xfId="14137" xr:uid="{0F0F4D3D-9084-426D-9ADD-7B7541E3E238}"/>
    <cellStyle name="Normal 5 3 3 2 2 2 3 4" xfId="9924" xr:uid="{1E0141EA-18BC-4663-940D-74E95FCA7D2E}"/>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95" xr:uid="{0DB99685-B75C-4B87-A916-78743B4E1C4C}"/>
    <cellStyle name="Normal 5 3 3 2 2 2 4 2 3" xfId="12482" xr:uid="{98171435-1884-423B-BBE2-A447F84CD137}"/>
    <cellStyle name="Normal 5 3 3 2 2 2 4 3" xfId="6055" xr:uid="{00000000-0005-0000-0000-000084190000}"/>
    <cellStyle name="Normal 5 3 3 2 2 2 4 3 2" xfId="14550" xr:uid="{79C12F99-17CA-4E19-B343-5E974F605A97}"/>
    <cellStyle name="Normal 5 3 3 2 2 2 4 4" xfId="10337" xr:uid="{887B40D2-F7FC-4145-88F5-B01B1169CF0E}"/>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108" xr:uid="{F3ADF528-9A2C-49BB-B1A8-2FF23F09FCCA}"/>
    <cellStyle name="Normal 5 3 3 2 2 2 5 2 3" xfId="12895" xr:uid="{FF7826B9-0728-47B8-989C-BD641B4700A9}"/>
    <cellStyle name="Normal 5 3 3 2 2 2 5 3" xfId="6468" xr:uid="{00000000-0005-0000-0000-000088190000}"/>
    <cellStyle name="Normal 5 3 3 2 2 2 5 3 2" xfId="14963" xr:uid="{E0348ECE-7337-4348-8CA2-B9BC4BB041BB}"/>
    <cellStyle name="Normal 5 3 3 2 2 2 5 4" xfId="10750" xr:uid="{C62D5EB3-6DD8-4268-AE5F-708FCE58EB16}"/>
    <cellStyle name="Normal 5 3 3 2 2 2 6" xfId="2598" xr:uid="{00000000-0005-0000-0000-000089190000}"/>
    <cellStyle name="Normal 5 3 3 2 2 2 6 2" xfId="6881" xr:uid="{00000000-0005-0000-0000-00008A190000}"/>
    <cellStyle name="Normal 5 3 3 2 2 2 6 2 2" xfId="15376" xr:uid="{9B8DE452-647B-46FE-A1ED-ADE05007066D}"/>
    <cellStyle name="Normal 5 3 3 2 2 2 6 3" xfId="11163" xr:uid="{28CA5392-0E8B-4E54-8F34-F80CB9314760}"/>
    <cellStyle name="Normal 5 3 3 2 2 2 7" xfId="4816" xr:uid="{00000000-0005-0000-0000-00008B190000}"/>
    <cellStyle name="Normal 5 3 3 2 2 2 7 2" xfId="13311" xr:uid="{13EB69A1-3A75-4520-89F7-34132B6F811D}"/>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68" xr:uid="{F0FB4D39-968F-448B-8F6D-50B4E86993D1}"/>
    <cellStyle name="Normal 5 3 3 2 2 3 2 3" xfId="11655" xr:uid="{9A61890F-7D17-428A-80ED-0CF8973C39AE}"/>
    <cellStyle name="Normal 5 3 3 2 2 3 3" xfId="5228" xr:uid="{00000000-0005-0000-0000-00008F190000}"/>
    <cellStyle name="Normal 5 3 3 2 2 3 3 2" xfId="13723" xr:uid="{BD8B38AC-BD93-49B6-AC55-9AEA8D567B3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81" xr:uid="{E88ED3B2-1849-4381-9C6E-90811E908BDF}"/>
    <cellStyle name="Normal 5 3 3 2 2 4 2 3" xfId="12068" xr:uid="{71ABAEFA-EDC1-48CA-A1AE-CD56AA45BE2F}"/>
    <cellStyle name="Normal 5 3 3 2 2 4 3" xfId="5641" xr:uid="{00000000-0005-0000-0000-000093190000}"/>
    <cellStyle name="Normal 5 3 3 2 2 4 3 2" xfId="14136" xr:uid="{F7F2D6F0-0F2E-47C0-92E8-D117F255EC92}"/>
    <cellStyle name="Normal 5 3 3 2 2 4 4" xfId="9923" xr:uid="{CEBAB4EB-26AD-49C7-B5A6-3DADA2AE367B}"/>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94" xr:uid="{6799BF43-FA3A-4424-A2DF-D0225663B848}"/>
    <cellStyle name="Normal 5 3 3 2 2 5 2 3" xfId="12481" xr:uid="{93BA6CEE-9D67-440C-A51E-D99F38561FD2}"/>
    <cellStyle name="Normal 5 3 3 2 2 5 3" xfId="6054" xr:uid="{00000000-0005-0000-0000-000097190000}"/>
    <cellStyle name="Normal 5 3 3 2 2 5 3 2" xfId="14549" xr:uid="{134704B3-21B1-46FF-A3CD-DD54D657792A}"/>
    <cellStyle name="Normal 5 3 3 2 2 5 4" xfId="10336" xr:uid="{7BB09860-19C0-4ABE-B6FE-67ED763E595F}"/>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107" xr:uid="{AF5E8EB4-6F6B-4884-8CF9-E83B7E946443}"/>
    <cellStyle name="Normal 5 3 3 2 2 6 2 3" xfId="12894" xr:uid="{B0EE52E5-AA5A-4950-825C-CACFBFA33AD3}"/>
    <cellStyle name="Normal 5 3 3 2 2 6 3" xfId="6467" xr:uid="{00000000-0005-0000-0000-00009B190000}"/>
    <cellStyle name="Normal 5 3 3 2 2 6 3 2" xfId="14962" xr:uid="{AACFC0AD-C4E9-4EF7-8A3F-F45165C74A28}"/>
    <cellStyle name="Normal 5 3 3 2 2 6 4" xfId="10749" xr:uid="{A7D35123-2F89-4843-8014-79BE36D56655}"/>
    <cellStyle name="Normal 5 3 3 2 2 7" xfId="2597" xr:uid="{00000000-0005-0000-0000-00009C190000}"/>
    <cellStyle name="Normal 5 3 3 2 2 7 2" xfId="6880" xr:uid="{00000000-0005-0000-0000-00009D190000}"/>
    <cellStyle name="Normal 5 3 3 2 2 7 2 2" xfId="15375" xr:uid="{ECCD06F9-63B9-406E-8AED-11B5FC56DFAF}"/>
    <cellStyle name="Normal 5 3 3 2 2 7 3" xfId="11162" xr:uid="{7C5B1C3D-CADA-4E26-BA65-C761A02FF040}"/>
    <cellStyle name="Normal 5 3 3 2 2 8" xfId="4815" xr:uid="{00000000-0005-0000-0000-00009E190000}"/>
    <cellStyle name="Normal 5 3 3 2 2 8 2" xfId="13310" xr:uid="{74197F7C-C4C5-4C61-AA10-F6D8F94B260A}"/>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70" xr:uid="{112D98FC-8C95-45E0-95CF-BF371192E2A5}"/>
    <cellStyle name="Normal 5 3 3 2 3 2 2 3" xfId="11657" xr:uid="{26E95AA0-D35A-4ACA-9F58-F15CDA264FD7}"/>
    <cellStyle name="Normal 5 3 3 2 3 2 3" xfId="5230" xr:uid="{00000000-0005-0000-0000-0000A3190000}"/>
    <cellStyle name="Normal 5 3 3 2 3 2 3 2" xfId="13725" xr:uid="{24B353D3-5629-48F1-81D1-6CC0A23C1982}"/>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83" xr:uid="{30370EE1-DD41-403F-B50D-40A3B9297350}"/>
    <cellStyle name="Normal 5 3 3 2 3 3 2 3" xfId="12070" xr:uid="{FF733A84-6BBF-49E8-86FF-7C0E2333887D}"/>
    <cellStyle name="Normal 5 3 3 2 3 3 3" xfId="5643" xr:uid="{00000000-0005-0000-0000-0000A7190000}"/>
    <cellStyle name="Normal 5 3 3 2 3 3 3 2" xfId="14138" xr:uid="{5EED0DDC-F07C-40DC-9C29-306051807CCD}"/>
    <cellStyle name="Normal 5 3 3 2 3 3 4" xfId="9925" xr:uid="{475DA838-438E-4748-98C3-9FAABAF46CB8}"/>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96" xr:uid="{66439367-3662-456D-8398-9A49BC7C5D1B}"/>
    <cellStyle name="Normal 5 3 3 2 3 4 2 3" xfId="12483" xr:uid="{E435711D-592E-4A57-851C-D0726C22283A}"/>
    <cellStyle name="Normal 5 3 3 2 3 4 3" xfId="6056" xr:uid="{00000000-0005-0000-0000-0000AB190000}"/>
    <cellStyle name="Normal 5 3 3 2 3 4 3 2" xfId="14551" xr:uid="{F92F3960-6AD8-4A10-9F01-FF5653279CD5}"/>
    <cellStyle name="Normal 5 3 3 2 3 4 4" xfId="10338" xr:uid="{C7B9EC62-9D0E-45C6-8119-CB7E36AA3B76}"/>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109" xr:uid="{76A2FEBE-E225-46A8-98DC-833B1B531C91}"/>
    <cellStyle name="Normal 5 3 3 2 3 5 2 3" xfId="12896" xr:uid="{F1E46D49-E003-4F03-B325-0E5B7E2AECE9}"/>
    <cellStyle name="Normal 5 3 3 2 3 5 3" xfId="6469" xr:uid="{00000000-0005-0000-0000-0000AF190000}"/>
    <cellStyle name="Normal 5 3 3 2 3 5 3 2" xfId="14964" xr:uid="{5D77EF6B-0AA5-4D3D-80D0-73746A9FBC24}"/>
    <cellStyle name="Normal 5 3 3 2 3 5 4" xfId="10751" xr:uid="{42320689-F2BE-41AC-9372-6E96C42D7F77}"/>
    <cellStyle name="Normal 5 3 3 2 3 6" xfId="2599" xr:uid="{00000000-0005-0000-0000-0000B0190000}"/>
    <cellStyle name="Normal 5 3 3 2 3 6 2" xfId="6882" xr:uid="{00000000-0005-0000-0000-0000B1190000}"/>
    <cellStyle name="Normal 5 3 3 2 3 6 2 2" xfId="15377" xr:uid="{E1690E7A-827E-4729-886F-1346F4D7C5E6}"/>
    <cellStyle name="Normal 5 3 3 2 3 6 3" xfId="11164" xr:uid="{FC4F7E9C-3506-4B5E-8186-4D969C99FCAC}"/>
    <cellStyle name="Normal 5 3 3 2 3 7" xfId="4817" xr:uid="{00000000-0005-0000-0000-0000B2190000}"/>
    <cellStyle name="Normal 5 3 3 2 3 7 2" xfId="13312" xr:uid="{ACDA1B51-66D8-4189-9CAA-44FE13D53D6A}"/>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67" xr:uid="{E776076A-4538-409D-908F-3D529BDFEC6E}"/>
    <cellStyle name="Normal 5 3 3 2 4 2 3" xfId="11654" xr:uid="{46953D93-FFF4-4CB5-B3E9-92AF139EF2F4}"/>
    <cellStyle name="Normal 5 3 3 2 4 3" xfId="5227" xr:uid="{00000000-0005-0000-0000-0000B6190000}"/>
    <cellStyle name="Normal 5 3 3 2 4 3 2" xfId="13722" xr:uid="{2FA8E776-7E9E-46F1-80F9-38C402A83609}"/>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80" xr:uid="{1DF36209-D332-4641-AAE2-00694FA399DD}"/>
    <cellStyle name="Normal 5 3 3 2 5 2 3" xfId="12067" xr:uid="{DD364411-8109-4F52-836F-89CE20921244}"/>
    <cellStyle name="Normal 5 3 3 2 5 3" xfId="5640" xr:uid="{00000000-0005-0000-0000-0000BA190000}"/>
    <cellStyle name="Normal 5 3 3 2 5 3 2" xfId="14135" xr:uid="{E13E671B-1F5B-4235-AEAA-2FA80F057C7D}"/>
    <cellStyle name="Normal 5 3 3 2 5 4" xfId="9922" xr:uid="{97E70A19-8570-4783-9388-05104F4FEB06}"/>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93" xr:uid="{FE5B0828-8B92-488B-8B52-376B4BDF8B4E}"/>
    <cellStyle name="Normal 5 3 3 2 6 2 3" xfId="12480" xr:uid="{056B2335-68E1-46E3-9294-DF31F233FFA7}"/>
    <cellStyle name="Normal 5 3 3 2 6 3" xfId="6053" xr:uid="{00000000-0005-0000-0000-0000BE190000}"/>
    <cellStyle name="Normal 5 3 3 2 6 3 2" xfId="14548" xr:uid="{892E5B26-A963-41BA-8EED-CFE55F908880}"/>
    <cellStyle name="Normal 5 3 3 2 6 4" xfId="10335" xr:uid="{F3996333-BB1D-432E-9ED1-C608DF1C48B6}"/>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106" xr:uid="{58D89FA2-C706-4342-AAE1-7782B1E724C7}"/>
    <cellStyle name="Normal 5 3 3 2 7 2 3" xfId="12893" xr:uid="{BB5FD095-4BE6-419B-A938-996DB1EDEB43}"/>
    <cellStyle name="Normal 5 3 3 2 7 3" xfId="6466" xr:uid="{00000000-0005-0000-0000-0000C2190000}"/>
    <cellStyle name="Normal 5 3 3 2 7 3 2" xfId="14961" xr:uid="{F56D79A1-E771-4707-9DFB-201A055C163A}"/>
    <cellStyle name="Normal 5 3 3 2 7 4" xfId="10748" xr:uid="{E97B4331-27C4-40B1-85E3-1C95C2214B49}"/>
    <cellStyle name="Normal 5 3 3 2 8" xfId="2596" xr:uid="{00000000-0005-0000-0000-0000C3190000}"/>
    <cellStyle name="Normal 5 3 3 2 8 2" xfId="6879" xr:uid="{00000000-0005-0000-0000-0000C4190000}"/>
    <cellStyle name="Normal 5 3 3 2 8 2 2" xfId="15374" xr:uid="{359A8EA7-E8CD-4B6D-8223-3554402F593F}"/>
    <cellStyle name="Normal 5 3 3 2 8 3" xfId="11161" xr:uid="{D2B99FDE-EAA3-4A55-810A-957768AD94ED}"/>
    <cellStyle name="Normal 5 3 3 2 9" xfId="4814" xr:uid="{00000000-0005-0000-0000-0000C5190000}"/>
    <cellStyle name="Normal 5 3 3 2 9 2" xfId="13309" xr:uid="{145D1E4C-6810-4D7B-A064-BEE9668EBB0D}"/>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72" xr:uid="{D111C2CF-E954-4A8A-9B05-708C6E27951A}"/>
    <cellStyle name="Normal 5 3 3 3 2 2 2 3" xfId="11659" xr:uid="{834BA46E-093C-43A5-9C19-3FF41252D21B}"/>
    <cellStyle name="Normal 5 3 3 3 2 2 3" xfId="5232" xr:uid="{00000000-0005-0000-0000-0000CB190000}"/>
    <cellStyle name="Normal 5 3 3 3 2 2 3 2" xfId="13727" xr:uid="{878AFB11-021A-43E5-AFBA-71D74AFD114D}"/>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85" xr:uid="{BAA93102-DC9B-4505-ACEF-7F1C1ABC8E4A}"/>
    <cellStyle name="Normal 5 3 3 3 2 3 2 3" xfId="12072" xr:uid="{BBAC2EFD-446C-4FB0-8253-2B0117D81D93}"/>
    <cellStyle name="Normal 5 3 3 3 2 3 3" xfId="5645" xr:uid="{00000000-0005-0000-0000-0000CF190000}"/>
    <cellStyle name="Normal 5 3 3 3 2 3 3 2" xfId="14140" xr:uid="{E918C617-C786-42BB-A252-A8F6BDD884E3}"/>
    <cellStyle name="Normal 5 3 3 3 2 3 4" xfId="9927" xr:uid="{6B2302FB-17DE-4987-8C8F-90185FC7C012}"/>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98" xr:uid="{9DEBA59D-FA0C-4371-94F9-7F9EF660BC5B}"/>
    <cellStyle name="Normal 5 3 3 3 2 4 2 3" xfId="12485" xr:uid="{8F732CFF-9619-4149-92DF-5DC839052F83}"/>
    <cellStyle name="Normal 5 3 3 3 2 4 3" xfId="6058" xr:uid="{00000000-0005-0000-0000-0000D3190000}"/>
    <cellStyle name="Normal 5 3 3 3 2 4 3 2" xfId="14553" xr:uid="{540BDBD7-1D0A-4567-9DDC-B24D85C6BC1D}"/>
    <cellStyle name="Normal 5 3 3 3 2 4 4" xfId="10340" xr:uid="{1F78F45C-0B1C-4584-AC2C-D4F62710C9A9}"/>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111" xr:uid="{DE33EF0D-B158-4E5B-B7B6-4AE089AE6F11}"/>
    <cellStyle name="Normal 5 3 3 3 2 5 2 3" xfId="12898" xr:uid="{BE5FDDF6-ADA6-4994-9EB6-FF0F73E6E199}"/>
    <cellStyle name="Normal 5 3 3 3 2 5 3" xfId="6471" xr:uid="{00000000-0005-0000-0000-0000D7190000}"/>
    <cellStyle name="Normal 5 3 3 3 2 5 3 2" xfId="14966" xr:uid="{7DCC0966-DC15-4F64-AF9A-28F2EE17EEC2}"/>
    <cellStyle name="Normal 5 3 3 3 2 5 4" xfId="10753" xr:uid="{E4DD0FED-B0F2-4C74-BF9C-933CDE7FE297}"/>
    <cellStyle name="Normal 5 3 3 3 2 6" xfId="2601" xr:uid="{00000000-0005-0000-0000-0000D8190000}"/>
    <cellStyle name="Normal 5 3 3 3 2 6 2" xfId="6884" xr:uid="{00000000-0005-0000-0000-0000D9190000}"/>
    <cellStyle name="Normal 5 3 3 3 2 6 2 2" xfId="15379" xr:uid="{77829935-22D6-4974-95BA-7047F597FD3E}"/>
    <cellStyle name="Normal 5 3 3 3 2 6 3" xfId="11166" xr:uid="{351F0AF9-F574-49E6-B8C9-82300BC2C252}"/>
    <cellStyle name="Normal 5 3 3 3 2 7" xfId="4819" xr:uid="{00000000-0005-0000-0000-0000DA190000}"/>
    <cellStyle name="Normal 5 3 3 3 2 7 2" xfId="13314" xr:uid="{B12E818D-EBC8-45B4-9F7D-550235BE8069}"/>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71" xr:uid="{5765A947-6AA1-44A2-B159-51D76B2E7B15}"/>
    <cellStyle name="Normal 5 3 3 3 3 2 3" xfId="11658" xr:uid="{0F8A0EDA-9E59-42B1-B794-89167E980017}"/>
    <cellStyle name="Normal 5 3 3 3 3 3" xfId="5231" xr:uid="{00000000-0005-0000-0000-0000DE190000}"/>
    <cellStyle name="Normal 5 3 3 3 3 3 2" xfId="13726" xr:uid="{879CBC36-0C93-46C2-B454-AAF56B4A263A}"/>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84" xr:uid="{003D88DB-937D-4EBC-90B0-4D30100CCCDD}"/>
    <cellStyle name="Normal 5 3 3 3 4 2 3" xfId="12071" xr:uid="{580F60DF-26E5-4BD1-B859-E7A5B1FC8B15}"/>
    <cellStyle name="Normal 5 3 3 3 4 3" xfId="5644" xr:uid="{00000000-0005-0000-0000-0000E2190000}"/>
    <cellStyle name="Normal 5 3 3 3 4 3 2" xfId="14139" xr:uid="{570279F1-5844-4F00-84E9-45C538C02E6C}"/>
    <cellStyle name="Normal 5 3 3 3 4 4" xfId="9926" xr:uid="{AF09418C-3D6C-4BA7-A94E-F348EABF2ABD}"/>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97" xr:uid="{020B873A-4EF0-4F8A-8E9C-CB59A92DB05D}"/>
    <cellStyle name="Normal 5 3 3 3 5 2 3" xfId="12484" xr:uid="{60B381FE-44BD-4255-9CBD-8786F89BE15D}"/>
    <cellStyle name="Normal 5 3 3 3 5 3" xfId="6057" xr:uid="{00000000-0005-0000-0000-0000E6190000}"/>
    <cellStyle name="Normal 5 3 3 3 5 3 2" xfId="14552" xr:uid="{71CB3A1E-51A4-4713-9718-3FFD27D4BBED}"/>
    <cellStyle name="Normal 5 3 3 3 5 4" xfId="10339" xr:uid="{5C00A406-D144-4133-8EBC-FD347AC9926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110" xr:uid="{9605C25A-C0BF-47AB-A78B-AC463093C4DF}"/>
    <cellStyle name="Normal 5 3 3 3 6 2 3" xfId="12897" xr:uid="{B1C0CD23-73B5-487A-A504-DCDDB64A450E}"/>
    <cellStyle name="Normal 5 3 3 3 6 3" xfId="6470" xr:uid="{00000000-0005-0000-0000-0000EA190000}"/>
    <cellStyle name="Normal 5 3 3 3 6 3 2" xfId="14965" xr:uid="{6C31B8AB-F2DD-4DC7-B9C1-E4825D0C26A2}"/>
    <cellStyle name="Normal 5 3 3 3 6 4" xfId="10752" xr:uid="{4C61D8D1-4E90-46DB-A689-D28A1BFF60A4}"/>
    <cellStyle name="Normal 5 3 3 3 7" xfId="2600" xr:uid="{00000000-0005-0000-0000-0000EB190000}"/>
    <cellStyle name="Normal 5 3 3 3 7 2" xfId="6883" xr:uid="{00000000-0005-0000-0000-0000EC190000}"/>
    <cellStyle name="Normal 5 3 3 3 7 2 2" xfId="15378" xr:uid="{34D6BE1E-6ACE-40E9-B46A-8E48AE824A62}"/>
    <cellStyle name="Normal 5 3 3 3 7 3" xfId="11165" xr:uid="{8E20D3AC-D86D-4D0F-919A-24A8EDD89508}"/>
    <cellStyle name="Normal 5 3 3 3 8" xfId="4818" xr:uid="{00000000-0005-0000-0000-0000ED190000}"/>
    <cellStyle name="Normal 5 3 3 3 8 2" xfId="13313" xr:uid="{95026251-BC72-4981-AE75-5700B144115D}"/>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73" xr:uid="{1007AFF1-BE48-410E-9324-4158959FB56C}"/>
    <cellStyle name="Normal 5 3 3 4 2 2 3" xfId="11660" xr:uid="{2B3C754E-2BD8-4473-9EDE-E5F6ABD28DC3}"/>
    <cellStyle name="Normal 5 3 3 4 2 3" xfId="5233" xr:uid="{00000000-0005-0000-0000-0000F2190000}"/>
    <cellStyle name="Normal 5 3 3 4 2 3 2" xfId="13728" xr:uid="{EC1D4459-ED71-4678-8D42-370361D65A09}"/>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86" xr:uid="{CC1A7CFE-9B21-4AF6-AE12-597407BFCBBD}"/>
    <cellStyle name="Normal 5 3 3 4 3 2 3" xfId="12073" xr:uid="{E0E08B2F-004B-477B-B568-11DEEBABEA52}"/>
    <cellStyle name="Normal 5 3 3 4 3 3" xfId="5646" xr:uid="{00000000-0005-0000-0000-0000F6190000}"/>
    <cellStyle name="Normal 5 3 3 4 3 3 2" xfId="14141" xr:uid="{9876D710-7F78-40BF-8745-C4A88865F5B1}"/>
    <cellStyle name="Normal 5 3 3 4 3 4" xfId="9928" xr:uid="{B1E88AF8-7809-4CAE-BA0D-D5A1E9748B0D}"/>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99" xr:uid="{1D58FF4F-CF44-4509-B916-4DC22F731416}"/>
    <cellStyle name="Normal 5 3 3 4 4 2 3" xfId="12486" xr:uid="{7714833C-6BC2-47EB-9841-F537FF8D21FF}"/>
    <cellStyle name="Normal 5 3 3 4 4 3" xfId="6059" xr:uid="{00000000-0005-0000-0000-0000FA190000}"/>
    <cellStyle name="Normal 5 3 3 4 4 3 2" xfId="14554" xr:uid="{6651D054-A200-4DD6-BFB8-AB8CADD8F80F}"/>
    <cellStyle name="Normal 5 3 3 4 4 4" xfId="10341" xr:uid="{33CFEE53-0651-4208-9CFF-AF1FC31DA352}"/>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112" xr:uid="{0700E997-3C97-4380-A7AB-8FC9B27F8E03}"/>
    <cellStyle name="Normal 5 3 3 4 5 2 3" xfId="12899" xr:uid="{DED447DB-E29C-4EEF-9A26-6C881DE6621B}"/>
    <cellStyle name="Normal 5 3 3 4 5 3" xfId="6472" xr:uid="{00000000-0005-0000-0000-0000FE190000}"/>
    <cellStyle name="Normal 5 3 3 4 5 3 2" xfId="14967" xr:uid="{7BB658D1-D30F-4957-A037-8F0EEC66749F}"/>
    <cellStyle name="Normal 5 3 3 4 5 4" xfId="10754" xr:uid="{3E7365B9-11D7-4AAF-83D6-5E1B43823F3C}"/>
    <cellStyle name="Normal 5 3 3 4 6" xfId="2602" xr:uid="{00000000-0005-0000-0000-0000FF190000}"/>
    <cellStyle name="Normal 5 3 3 4 6 2" xfId="6885" xr:uid="{00000000-0005-0000-0000-0000001A0000}"/>
    <cellStyle name="Normal 5 3 3 4 6 2 2" xfId="15380" xr:uid="{8AF302FB-01C9-46D8-9309-4A685ADC3C52}"/>
    <cellStyle name="Normal 5 3 3 4 6 3" xfId="11167" xr:uid="{AD69C74B-F760-4579-BD7E-3A58DFD8DE0D}"/>
    <cellStyle name="Normal 5 3 3 4 7" xfId="4820" xr:uid="{00000000-0005-0000-0000-0000011A0000}"/>
    <cellStyle name="Normal 5 3 3 4 7 2" xfId="13315" xr:uid="{3E337C3A-A603-4BAA-A556-79E4A6FD7172}"/>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2 2 2" xfId="15866" xr:uid="{D523063B-FC56-4B81-8CEF-A44D9F42BB16}"/>
    <cellStyle name="Normal 5 3 3 5 2 3" xfId="11653" xr:uid="{B7E9D31D-8620-49E0-BA7F-79C2BE5C58F4}"/>
    <cellStyle name="Normal 5 3 3 5 3" xfId="5226" xr:uid="{00000000-0005-0000-0000-0000051A0000}"/>
    <cellStyle name="Normal 5 3 3 5 3 2" xfId="13721" xr:uid="{F1A17AF0-5F3A-4B7E-B6D5-7196E16FFE29}"/>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2 2 2" xfId="16279" xr:uid="{B303CEAE-ED0F-4F44-B291-B6BC72F21DC9}"/>
    <cellStyle name="Normal 5 3 3 6 2 3" xfId="12066" xr:uid="{F6BC1E2A-ADDA-4935-8F77-FD330E7712D2}"/>
    <cellStyle name="Normal 5 3 3 6 3" xfId="5639" xr:uid="{00000000-0005-0000-0000-0000091A0000}"/>
    <cellStyle name="Normal 5 3 3 6 3 2" xfId="14134" xr:uid="{4A63D544-AB04-425D-B93C-7DC5ECF4BD74}"/>
    <cellStyle name="Normal 5 3 3 6 4" xfId="9921" xr:uid="{9CC67CC9-DB4F-4D29-AD10-8BAD1EE718B9}"/>
    <cellStyle name="Normal 5 3 3 7" xfId="1745" xr:uid="{00000000-0005-0000-0000-00000A1A0000}"/>
    <cellStyle name="Normal 5 3 3 7 2" xfId="3975" xr:uid="{00000000-0005-0000-0000-00000B1A0000}"/>
    <cellStyle name="Normal 5 3 3 7 2 2" xfId="8197" xr:uid="{00000000-0005-0000-0000-00000C1A0000}"/>
    <cellStyle name="Normal 5 3 3 7 2 2 2" xfId="16692" xr:uid="{33679F18-F0C9-4CF0-9BA9-7927B5220F6F}"/>
    <cellStyle name="Normal 5 3 3 7 2 3" xfId="12479" xr:uid="{94A101E2-9B03-46EB-B4A5-B4E6E0C98984}"/>
    <cellStyle name="Normal 5 3 3 7 3" xfId="6052" xr:uid="{00000000-0005-0000-0000-00000D1A0000}"/>
    <cellStyle name="Normal 5 3 3 7 3 2" xfId="14547" xr:uid="{35E93998-B7FD-46A4-98D4-A4B302F1D7FE}"/>
    <cellStyle name="Normal 5 3 3 7 4" xfId="10334" xr:uid="{053C46F1-A396-4D5D-80FD-93C6B116E3A9}"/>
    <cellStyle name="Normal 5 3 3 8" xfId="2159" xr:uid="{00000000-0005-0000-0000-00000E1A0000}"/>
    <cellStyle name="Normal 5 3 3 8 2" xfId="4388" xr:uid="{00000000-0005-0000-0000-00000F1A0000}"/>
    <cellStyle name="Normal 5 3 3 8 2 2" xfId="8610" xr:uid="{00000000-0005-0000-0000-0000101A0000}"/>
    <cellStyle name="Normal 5 3 3 8 2 2 2" xfId="17105" xr:uid="{D8378658-38EE-4008-9281-DC106C247958}"/>
    <cellStyle name="Normal 5 3 3 8 2 3" xfId="12892" xr:uid="{FA751599-7393-46C7-94BE-4032173E575A}"/>
    <cellStyle name="Normal 5 3 3 8 3" xfId="6465" xr:uid="{00000000-0005-0000-0000-0000111A0000}"/>
    <cellStyle name="Normal 5 3 3 8 3 2" xfId="14960" xr:uid="{04E9CBEB-189E-4E44-BB80-6DC480AF9ACD}"/>
    <cellStyle name="Normal 5 3 3 8 4" xfId="10747" xr:uid="{65B1B98F-BAB3-4C07-B4E5-9BE5361A4DFF}"/>
    <cellStyle name="Normal 5 3 3 9" xfId="2595" xr:uid="{00000000-0005-0000-0000-0000121A0000}"/>
    <cellStyle name="Normal 5 3 3 9 2" xfId="6878" xr:uid="{00000000-0005-0000-0000-0000131A0000}"/>
    <cellStyle name="Normal 5 3 3 9 2 2" xfId="15373" xr:uid="{4B4E22E6-66C8-4C18-A075-54E5EDBE22C7}"/>
    <cellStyle name="Normal 5 3 3 9 3" xfId="11160" xr:uid="{23B9E76D-22A2-4720-A0FF-E567DF7864C3}"/>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76" xr:uid="{83D03927-C409-4EF3-BD71-BCC69645D7ED}"/>
    <cellStyle name="Normal 5 3 4 2 2 2 2 3" xfId="11663" xr:uid="{93A50813-A769-43C1-ADD0-22D7C6B7D6E2}"/>
    <cellStyle name="Normal 5 3 4 2 2 2 3" xfId="5236" xr:uid="{00000000-0005-0000-0000-00001A1A0000}"/>
    <cellStyle name="Normal 5 3 4 2 2 2 3 2" xfId="13731" xr:uid="{BAAE2C22-E8C3-4E8C-B0CC-0AFA0AA215C8}"/>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89" xr:uid="{5E42C860-F94F-4EED-A5F5-B630BAE97F28}"/>
    <cellStyle name="Normal 5 3 4 2 2 3 2 3" xfId="12076" xr:uid="{6D34579A-84F2-4E52-9B5B-939EA51ADE4C}"/>
    <cellStyle name="Normal 5 3 4 2 2 3 3" xfId="5649" xr:uid="{00000000-0005-0000-0000-00001E1A0000}"/>
    <cellStyle name="Normal 5 3 4 2 2 3 3 2" xfId="14144" xr:uid="{AD94F2DC-4FAA-4411-8BD5-6E63D15095CA}"/>
    <cellStyle name="Normal 5 3 4 2 2 3 4" xfId="9931" xr:uid="{50327945-C754-4C84-AA61-F174EB39D48E}"/>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702" xr:uid="{C20B5A56-EF78-4AA7-8B59-0C82543ACD90}"/>
    <cellStyle name="Normal 5 3 4 2 2 4 2 3" xfId="12489" xr:uid="{E060DFDB-5533-4E50-8983-1542A23115C7}"/>
    <cellStyle name="Normal 5 3 4 2 2 4 3" xfId="6062" xr:uid="{00000000-0005-0000-0000-0000221A0000}"/>
    <cellStyle name="Normal 5 3 4 2 2 4 3 2" xfId="14557" xr:uid="{DF9EF36C-7628-4C82-95DF-4E352B6ACF67}"/>
    <cellStyle name="Normal 5 3 4 2 2 4 4" xfId="10344" xr:uid="{98BDF2C1-455E-46B8-BA72-FB00BA056377}"/>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115" xr:uid="{AF60D0B3-DD91-4F2C-BF1C-4F217FF2E853}"/>
    <cellStyle name="Normal 5 3 4 2 2 5 2 3" xfId="12902" xr:uid="{60FD6FFE-8738-4BCC-80C8-0EB425B7096E}"/>
    <cellStyle name="Normal 5 3 4 2 2 5 3" xfId="6475" xr:uid="{00000000-0005-0000-0000-0000261A0000}"/>
    <cellStyle name="Normal 5 3 4 2 2 5 3 2" xfId="14970" xr:uid="{DB2AB2F1-3538-448C-888F-2B7AE8941DD7}"/>
    <cellStyle name="Normal 5 3 4 2 2 5 4" xfId="10757" xr:uid="{18078C65-9519-403F-A938-8FECED5FC9CB}"/>
    <cellStyle name="Normal 5 3 4 2 2 6" xfId="2605" xr:uid="{00000000-0005-0000-0000-0000271A0000}"/>
    <cellStyle name="Normal 5 3 4 2 2 6 2" xfId="6888" xr:uid="{00000000-0005-0000-0000-0000281A0000}"/>
    <cellStyle name="Normal 5 3 4 2 2 6 2 2" xfId="15383" xr:uid="{B82E1F4A-8880-4627-80EE-C2CD2349A3CA}"/>
    <cellStyle name="Normal 5 3 4 2 2 6 3" xfId="11170" xr:uid="{16E0578A-20EA-4AFE-A782-CA1D3F1947AB}"/>
    <cellStyle name="Normal 5 3 4 2 2 7" xfId="4823" xr:uid="{00000000-0005-0000-0000-0000291A0000}"/>
    <cellStyle name="Normal 5 3 4 2 2 7 2" xfId="13318" xr:uid="{3BFFA878-A913-41EC-A202-5BE2E2C3943D}"/>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75" xr:uid="{2912CBE6-79E8-4A0A-A902-393B2AEC332F}"/>
    <cellStyle name="Normal 5 3 4 2 3 2 3" xfId="11662" xr:uid="{32FC8F95-9C28-423B-A4B2-A22B2DED5327}"/>
    <cellStyle name="Normal 5 3 4 2 3 3" xfId="5235" xr:uid="{00000000-0005-0000-0000-00002D1A0000}"/>
    <cellStyle name="Normal 5 3 4 2 3 3 2" xfId="13730" xr:uid="{E011A67C-AD0A-4775-B6E0-032AEC968B2A}"/>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88" xr:uid="{41179517-A5DB-4FB2-B612-1FE585C6A84E}"/>
    <cellStyle name="Normal 5 3 4 2 4 2 3" xfId="12075" xr:uid="{D1ACB682-3AD9-4028-B7CA-D95A27B11541}"/>
    <cellStyle name="Normal 5 3 4 2 4 3" xfId="5648" xr:uid="{00000000-0005-0000-0000-0000311A0000}"/>
    <cellStyle name="Normal 5 3 4 2 4 3 2" xfId="14143" xr:uid="{13E96C86-106A-4920-AB05-ECC1FA785A88}"/>
    <cellStyle name="Normal 5 3 4 2 4 4" xfId="9930" xr:uid="{A1550BB5-F2C3-4DA6-84FA-F2D1564E5CB9}"/>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701" xr:uid="{8F07B9EB-F539-4E43-A8A4-9AC8C3BA7391}"/>
    <cellStyle name="Normal 5 3 4 2 5 2 3" xfId="12488" xr:uid="{4FD34EF4-1FE3-4F60-852D-5AFFA3A6DD30}"/>
    <cellStyle name="Normal 5 3 4 2 5 3" xfId="6061" xr:uid="{00000000-0005-0000-0000-0000351A0000}"/>
    <cellStyle name="Normal 5 3 4 2 5 3 2" xfId="14556" xr:uid="{AFE9637A-1C10-4A61-859E-C0414DB26950}"/>
    <cellStyle name="Normal 5 3 4 2 5 4" xfId="10343" xr:uid="{E8A95B07-65DD-4FB2-AD1E-417C87DE177B}"/>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114" xr:uid="{95551832-D38C-4B8F-BA85-0F5781DEF299}"/>
    <cellStyle name="Normal 5 3 4 2 6 2 3" xfId="12901" xr:uid="{B734EDE6-868B-4C64-9A8F-AFAA53BDF4F7}"/>
    <cellStyle name="Normal 5 3 4 2 6 3" xfId="6474" xr:uid="{00000000-0005-0000-0000-0000391A0000}"/>
    <cellStyle name="Normal 5 3 4 2 6 3 2" xfId="14969" xr:uid="{494C69F8-2EFC-4F15-8176-ACEDE21E5C55}"/>
    <cellStyle name="Normal 5 3 4 2 6 4" xfId="10756" xr:uid="{04EC5C97-6F8E-4CF4-9E4A-451F468B6348}"/>
    <cellStyle name="Normal 5 3 4 2 7" xfId="2604" xr:uid="{00000000-0005-0000-0000-00003A1A0000}"/>
    <cellStyle name="Normal 5 3 4 2 7 2" xfId="6887" xr:uid="{00000000-0005-0000-0000-00003B1A0000}"/>
    <cellStyle name="Normal 5 3 4 2 7 2 2" xfId="15382" xr:uid="{BC5B432D-6CCB-40A8-87EC-4D1B9D867980}"/>
    <cellStyle name="Normal 5 3 4 2 7 3" xfId="11169" xr:uid="{792F8688-A99F-439B-87AC-1712BCCD011A}"/>
    <cellStyle name="Normal 5 3 4 2 8" xfId="4822" xr:uid="{00000000-0005-0000-0000-00003C1A0000}"/>
    <cellStyle name="Normal 5 3 4 2 8 2" xfId="13317" xr:uid="{B8099D62-6DB4-44CF-9A42-31026897AA3E}"/>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77" xr:uid="{0D586BF7-4FD4-427F-B2E2-1D82D8BA265E}"/>
    <cellStyle name="Normal 5 3 4 3 2 2 3" xfId="11664" xr:uid="{C9D7DFD4-D4F0-453C-A883-B08780419FFF}"/>
    <cellStyle name="Normal 5 3 4 3 2 3" xfId="5237" xr:uid="{00000000-0005-0000-0000-0000411A0000}"/>
    <cellStyle name="Normal 5 3 4 3 2 3 2" xfId="13732" xr:uid="{A7147B07-AB1B-4ACC-97CE-0CDD28478765}"/>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90" xr:uid="{5B9FCD34-1880-4A20-A5ED-1C77C9CACB48}"/>
    <cellStyle name="Normal 5 3 4 3 3 2 3" xfId="12077" xr:uid="{40213596-129A-41C1-BD8E-6187D609A066}"/>
    <cellStyle name="Normal 5 3 4 3 3 3" xfId="5650" xr:uid="{00000000-0005-0000-0000-0000451A0000}"/>
    <cellStyle name="Normal 5 3 4 3 3 3 2" xfId="14145" xr:uid="{1250F828-EF8E-4D96-8708-323FA68102FC}"/>
    <cellStyle name="Normal 5 3 4 3 3 4" xfId="9932" xr:uid="{9E4E34EA-9C44-4F1B-A7F0-52CE2F1BFE0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703" xr:uid="{97928C6D-D606-4645-857D-1D3724079567}"/>
    <cellStyle name="Normal 5 3 4 3 4 2 3" xfId="12490" xr:uid="{F8BD5996-3ED8-413D-981F-B5259C51768D}"/>
    <cellStyle name="Normal 5 3 4 3 4 3" xfId="6063" xr:uid="{00000000-0005-0000-0000-0000491A0000}"/>
    <cellStyle name="Normal 5 3 4 3 4 3 2" xfId="14558" xr:uid="{A2F44067-7310-4F34-A161-AC32498B20C9}"/>
    <cellStyle name="Normal 5 3 4 3 4 4" xfId="10345" xr:uid="{A08828DD-746E-4369-94D0-E555A82D9104}"/>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116" xr:uid="{F340ADCD-2337-4CCA-B2F4-9AF5F718A5BF}"/>
    <cellStyle name="Normal 5 3 4 3 5 2 3" xfId="12903" xr:uid="{E580F922-6392-4EE2-9E85-5106A39C4BA6}"/>
    <cellStyle name="Normal 5 3 4 3 5 3" xfId="6476" xr:uid="{00000000-0005-0000-0000-00004D1A0000}"/>
    <cellStyle name="Normal 5 3 4 3 5 3 2" xfId="14971" xr:uid="{496199DB-F5DA-486C-BB65-A435EF60F605}"/>
    <cellStyle name="Normal 5 3 4 3 5 4" xfId="10758" xr:uid="{7B9A0C18-9B2E-440A-BAAF-CF968B745632}"/>
    <cellStyle name="Normal 5 3 4 3 6" xfId="2606" xr:uid="{00000000-0005-0000-0000-00004E1A0000}"/>
    <cellStyle name="Normal 5 3 4 3 6 2" xfId="6889" xr:uid="{00000000-0005-0000-0000-00004F1A0000}"/>
    <cellStyle name="Normal 5 3 4 3 6 2 2" xfId="15384" xr:uid="{5457666F-545B-4AC8-B0A8-9BFED2018EE0}"/>
    <cellStyle name="Normal 5 3 4 3 6 3" xfId="11171" xr:uid="{0CBF9BFA-E1D1-402E-BB87-BEEE9417A901}"/>
    <cellStyle name="Normal 5 3 4 3 7" xfId="4824" xr:uid="{00000000-0005-0000-0000-0000501A0000}"/>
    <cellStyle name="Normal 5 3 4 3 7 2" xfId="13319" xr:uid="{73294316-71FE-43EB-B07C-9FFD8041C626}"/>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2 2 2" xfId="15874" xr:uid="{FC2DE09F-6DD3-41B2-9F0D-A551C98ED3C0}"/>
    <cellStyle name="Normal 5 3 4 4 2 3" xfId="11661" xr:uid="{91AAF111-71FF-4A50-920A-D84218B8767C}"/>
    <cellStyle name="Normal 5 3 4 4 3" xfId="5234" xr:uid="{00000000-0005-0000-0000-0000541A0000}"/>
    <cellStyle name="Normal 5 3 4 4 3 2" xfId="13729" xr:uid="{E870C110-F744-42D6-A512-17DF05DB38F5}"/>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2 2 2" xfId="16287" xr:uid="{2DD5A5E8-0BAB-49D9-BD98-A28771259615}"/>
    <cellStyle name="Normal 5 3 4 5 2 3" xfId="12074" xr:uid="{AFE953F1-3220-4524-9D49-A8B14700C17F}"/>
    <cellStyle name="Normal 5 3 4 5 3" xfId="5647" xr:uid="{00000000-0005-0000-0000-0000581A0000}"/>
    <cellStyle name="Normal 5 3 4 5 3 2" xfId="14142" xr:uid="{8500D94B-B2AC-4F88-B0D0-9ABE36F09AE2}"/>
    <cellStyle name="Normal 5 3 4 5 4" xfId="9929" xr:uid="{C5DC349C-C0D1-4CB6-AC13-8688498A18E7}"/>
    <cellStyle name="Normal 5 3 4 6" xfId="1753" xr:uid="{00000000-0005-0000-0000-0000591A0000}"/>
    <cellStyle name="Normal 5 3 4 6 2" xfId="3983" xr:uid="{00000000-0005-0000-0000-00005A1A0000}"/>
    <cellStyle name="Normal 5 3 4 6 2 2" xfId="8205" xr:uid="{00000000-0005-0000-0000-00005B1A0000}"/>
    <cellStyle name="Normal 5 3 4 6 2 2 2" xfId="16700" xr:uid="{BFE58157-AE6B-40EF-BED5-C562EE228327}"/>
    <cellStyle name="Normal 5 3 4 6 2 3" xfId="12487" xr:uid="{B904CDF5-69B6-4C94-B03F-B5A9A93D90BB}"/>
    <cellStyle name="Normal 5 3 4 6 3" xfId="6060" xr:uid="{00000000-0005-0000-0000-00005C1A0000}"/>
    <cellStyle name="Normal 5 3 4 6 3 2" xfId="14555" xr:uid="{D10ACE3C-289F-4F35-884C-E6EAE1FE4638}"/>
    <cellStyle name="Normal 5 3 4 6 4" xfId="10342" xr:uid="{9656AEEE-0C67-4342-8849-1B7DAD12D9E3}"/>
    <cellStyle name="Normal 5 3 4 7" xfId="2167" xr:uid="{00000000-0005-0000-0000-00005D1A0000}"/>
    <cellStyle name="Normal 5 3 4 7 2" xfId="4396" xr:uid="{00000000-0005-0000-0000-00005E1A0000}"/>
    <cellStyle name="Normal 5 3 4 7 2 2" xfId="8618" xr:uid="{00000000-0005-0000-0000-00005F1A0000}"/>
    <cellStyle name="Normal 5 3 4 7 2 2 2" xfId="17113" xr:uid="{A84133B5-DBB0-46EF-B5C2-CD214C6957CC}"/>
    <cellStyle name="Normal 5 3 4 7 2 3" xfId="12900" xr:uid="{A72886CA-1F8C-4A07-8EED-0CA9E008A3CA}"/>
    <cellStyle name="Normal 5 3 4 7 3" xfId="6473" xr:uid="{00000000-0005-0000-0000-0000601A0000}"/>
    <cellStyle name="Normal 5 3 4 7 3 2" xfId="14968" xr:uid="{C3303C19-5B36-4E8D-B9F5-64411C5CBD49}"/>
    <cellStyle name="Normal 5 3 4 7 4" xfId="10755" xr:uid="{DB0D03EC-5E29-4259-89DA-EA1D9C2E7D66}"/>
    <cellStyle name="Normal 5 3 4 8" xfId="2603" xr:uid="{00000000-0005-0000-0000-0000611A0000}"/>
    <cellStyle name="Normal 5 3 4 8 2" xfId="6886" xr:uid="{00000000-0005-0000-0000-0000621A0000}"/>
    <cellStyle name="Normal 5 3 4 8 2 2" xfId="15381" xr:uid="{0681F3C8-FD2E-4A22-A8E6-348AF9926753}"/>
    <cellStyle name="Normal 5 3 4 8 3" xfId="11168" xr:uid="{8CF26BE0-A03F-4943-935E-F508939DE72A}"/>
    <cellStyle name="Normal 5 3 4 9" xfId="4821" xr:uid="{00000000-0005-0000-0000-0000631A0000}"/>
    <cellStyle name="Normal 5 3 4 9 2" xfId="13316" xr:uid="{9B0183E4-E24D-4C38-9066-7AE796E484C7}"/>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79" xr:uid="{E6F60920-4328-422A-AA36-6ACD8F691AB4}"/>
    <cellStyle name="Normal 5 3 5 2 2 2 3" xfId="11666" xr:uid="{1E087164-DAD2-471E-B23E-1D85EB485044}"/>
    <cellStyle name="Normal 5 3 5 2 2 3" xfId="5239" xr:uid="{00000000-0005-0000-0000-0000691A0000}"/>
    <cellStyle name="Normal 5 3 5 2 2 3 2" xfId="13734" xr:uid="{2B6B2D4D-57F5-498F-A059-C44424DA750C}"/>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92" xr:uid="{5B31BBB6-C94A-4855-9E59-FE59E1CDC715}"/>
    <cellStyle name="Normal 5 3 5 2 3 2 3" xfId="12079" xr:uid="{2707863E-95C9-4B2F-91AC-296A90358462}"/>
    <cellStyle name="Normal 5 3 5 2 3 3" xfId="5652" xr:uid="{00000000-0005-0000-0000-00006D1A0000}"/>
    <cellStyle name="Normal 5 3 5 2 3 3 2" xfId="14147" xr:uid="{B805E141-E61D-4FD5-A3B3-C1F0394A9C3E}"/>
    <cellStyle name="Normal 5 3 5 2 3 4" xfId="9934" xr:uid="{0F8D4866-3F44-45CD-A26C-93C457B6A4F3}"/>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705" xr:uid="{B51D3B71-3FC1-4885-9937-72EC29B2C2EB}"/>
    <cellStyle name="Normal 5 3 5 2 4 2 3" xfId="12492" xr:uid="{F027247B-DFF1-4217-A9FF-325812D42A73}"/>
    <cellStyle name="Normal 5 3 5 2 4 3" xfId="6065" xr:uid="{00000000-0005-0000-0000-0000711A0000}"/>
    <cellStyle name="Normal 5 3 5 2 4 3 2" xfId="14560" xr:uid="{4E947117-5E1A-485F-A502-9430F178B8EB}"/>
    <cellStyle name="Normal 5 3 5 2 4 4" xfId="10347" xr:uid="{A083A6BF-60AD-4C4E-8F82-0858E7D2CDB7}"/>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118" xr:uid="{9C37838F-A3F0-4C15-ABB3-59E180DE2F08}"/>
    <cellStyle name="Normal 5 3 5 2 5 2 3" xfId="12905" xr:uid="{6BC3DE84-32D2-4C8E-A482-2BC4807ED225}"/>
    <cellStyle name="Normal 5 3 5 2 5 3" xfId="6478" xr:uid="{00000000-0005-0000-0000-0000751A0000}"/>
    <cellStyle name="Normal 5 3 5 2 5 3 2" xfId="14973" xr:uid="{1EA63FFD-30A1-4465-9CDF-E52B9C17AAFA}"/>
    <cellStyle name="Normal 5 3 5 2 5 4" xfId="10760" xr:uid="{9521B361-654F-4D22-BAEB-E338A701A666}"/>
    <cellStyle name="Normal 5 3 5 2 6" xfId="2608" xr:uid="{00000000-0005-0000-0000-0000761A0000}"/>
    <cellStyle name="Normal 5 3 5 2 6 2" xfId="6891" xr:uid="{00000000-0005-0000-0000-0000771A0000}"/>
    <cellStyle name="Normal 5 3 5 2 6 2 2" xfId="15386" xr:uid="{7D71D5DB-A71E-42AB-8B56-E6330DBBD463}"/>
    <cellStyle name="Normal 5 3 5 2 6 3" xfId="11173" xr:uid="{7147C998-BABB-4435-ABA0-B273779A62C1}"/>
    <cellStyle name="Normal 5 3 5 2 7" xfId="4826" xr:uid="{00000000-0005-0000-0000-0000781A0000}"/>
    <cellStyle name="Normal 5 3 5 2 7 2" xfId="13321" xr:uid="{74F50959-5617-4A7C-B85D-A050F2F02249}"/>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2 2 2" xfId="15878" xr:uid="{B08C4C7C-E5E2-4279-B60F-5510BB9D4452}"/>
    <cellStyle name="Normal 5 3 5 3 2 3" xfId="11665" xr:uid="{45FD832B-0A06-4B17-8EE5-0C73405F2579}"/>
    <cellStyle name="Normal 5 3 5 3 3" xfId="5238" xr:uid="{00000000-0005-0000-0000-00007C1A0000}"/>
    <cellStyle name="Normal 5 3 5 3 3 2" xfId="13733" xr:uid="{492DCE82-CE97-410A-A181-B8006E9DE03E}"/>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2 2 2" xfId="16291" xr:uid="{45C89628-C5F5-4055-A34D-5F0285B91C54}"/>
    <cellStyle name="Normal 5 3 5 4 2 3" xfId="12078" xr:uid="{8C68E187-9760-4F84-A93E-468D7789055D}"/>
    <cellStyle name="Normal 5 3 5 4 3" xfId="5651" xr:uid="{00000000-0005-0000-0000-0000801A0000}"/>
    <cellStyle name="Normal 5 3 5 4 3 2" xfId="14146" xr:uid="{D4B93CBE-7B0B-490F-A3C0-6A23ADB1E335}"/>
    <cellStyle name="Normal 5 3 5 4 4" xfId="9933" xr:uid="{DBA90CE3-EEF5-4807-A22B-520827A7C14A}"/>
    <cellStyle name="Normal 5 3 5 5" xfId="1757" xr:uid="{00000000-0005-0000-0000-0000811A0000}"/>
    <cellStyle name="Normal 5 3 5 5 2" xfId="3987" xr:uid="{00000000-0005-0000-0000-0000821A0000}"/>
    <cellStyle name="Normal 5 3 5 5 2 2" xfId="8209" xr:uid="{00000000-0005-0000-0000-0000831A0000}"/>
    <cellStyle name="Normal 5 3 5 5 2 2 2" xfId="16704" xr:uid="{C91A4E42-D8B2-4445-A9A0-CB44CEA32106}"/>
    <cellStyle name="Normal 5 3 5 5 2 3" xfId="12491" xr:uid="{A02A2B57-D989-4BA5-BF8E-7DA0756FCE55}"/>
    <cellStyle name="Normal 5 3 5 5 3" xfId="6064" xr:uid="{00000000-0005-0000-0000-0000841A0000}"/>
    <cellStyle name="Normal 5 3 5 5 3 2" xfId="14559" xr:uid="{96D716F8-B397-4696-856A-BF118AFC0B28}"/>
    <cellStyle name="Normal 5 3 5 5 4" xfId="10346" xr:uid="{AB9EF462-1536-44A1-9C61-EC355DE39988}"/>
    <cellStyle name="Normal 5 3 5 6" xfId="2171" xr:uid="{00000000-0005-0000-0000-0000851A0000}"/>
    <cellStyle name="Normal 5 3 5 6 2" xfId="4400" xr:uid="{00000000-0005-0000-0000-0000861A0000}"/>
    <cellStyle name="Normal 5 3 5 6 2 2" xfId="8622" xr:uid="{00000000-0005-0000-0000-0000871A0000}"/>
    <cellStyle name="Normal 5 3 5 6 2 2 2" xfId="17117" xr:uid="{E8656E3C-42F9-412C-86AA-18AE9F4BD7C1}"/>
    <cellStyle name="Normal 5 3 5 6 2 3" xfId="12904" xr:uid="{F251B545-AC6F-4826-9CA0-40FDF74439D2}"/>
    <cellStyle name="Normal 5 3 5 6 3" xfId="6477" xr:uid="{00000000-0005-0000-0000-0000881A0000}"/>
    <cellStyle name="Normal 5 3 5 6 3 2" xfId="14972" xr:uid="{20EE22BE-1608-4AEC-B930-7994297809E2}"/>
    <cellStyle name="Normal 5 3 5 6 4" xfId="10759" xr:uid="{3417750B-4A3D-45C8-827E-68A5E01215CF}"/>
    <cellStyle name="Normal 5 3 5 7" xfId="2607" xr:uid="{00000000-0005-0000-0000-0000891A0000}"/>
    <cellStyle name="Normal 5 3 5 7 2" xfId="6890" xr:uid="{00000000-0005-0000-0000-00008A1A0000}"/>
    <cellStyle name="Normal 5 3 5 7 2 2" xfId="15385" xr:uid="{B0919D92-02FD-4D9D-A7F3-C914BDCD203D}"/>
    <cellStyle name="Normal 5 3 5 7 3" xfId="11172" xr:uid="{B32B67A6-EB7F-410C-A571-55A3A7BC0CDF}"/>
    <cellStyle name="Normal 5 3 5 8" xfId="4825" xr:uid="{00000000-0005-0000-0000-00008B1A0000}"/>
    <cellStyle name="Normal 5 3 5 8 2" xfId="13320" xr:uid="{9DB8178A-4B1E-462B-9D88-A83D7FAD16CA}"/>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80" xr:uid="{73522879-2B76-4F02-B71F-0F7545E38B35}"/>
    <cellStyle name="Normal 5 3 6 2 2 3" xfId="11667" xr:uid="{350A10F3-D3C5-4B93-B00E-FA5E52DFC33D}"/>
    <cellStyle name="Normal 5 3 6 2 3" xfId="5240" xr:uid="{00000000-0005-0000-0000-0000901A0000}"/>
    <cellStyle name="Normal 5 3 6 2 3 2" xfId="13735" xr:uid="{59CFA294-C520-4F0E-A6A7-EF2A21307EE3}"/>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2 2 2" xfId="16293" xr:uid="{69ACE0BD-4D48-4EA9-94B0-887CB5F884F8}"/>
    <cellStyle name="Normal 5 3 6 3 2 3" xfId="12080" xr:uid="{270EC98D-116B-439B-A8C8-9B9108A08FE4}"/>
    <cellStyle name="Normal 5 3 6 3 3" xfId="5653" xr:uid="{00000000-0005-0000-0000-0000941A0000}"/>
    <cellStyle name="Normal 5 3 6 3 3 2" xfId="14148" xr:uid="{14CB617D-3039-4D51-A98B-23BB848DA295}"/>
    <cellStyle name="Normal 5 3 6 3 4" xfId="9935" xr:uid="{29ACCA97-1E64-4333-9674-03C5A784C722}"/>
    <cellStyle name="Normal 5 3 6 4" xfId="1759" xr:uid="{00000000-0005-0000-0000-0000951A0000}"/>
    <cellStyle name="Normal 5 3 6 4 2" xfId="3989" xr:uid="{00000000-0005-0000-0000-0000961A0000}"/>
    <cellStyle name="Normal 5 3 6 4 2 2" xfId="8211" xr:uid="{00000000-0005-0000-0000-0000971A0000}"/>
    <cellStyle name="Normal 5 3 6 4 2 2 2" xfId="16706" xr:uid="{F7A88364-B54D-4BF1-9DE0-BC9A9291F459}"/>
    <cellStyle name="Normal 5 3 6 4 2 3" xfId="12493" xr:uid="{69512FD8-517F-454C-8919-71A55007CB0A}"/>
    <cellStyle name="Normal 5 3 6 4 3" xfId="6066" xr:uid="{00000000-0005-0000-0000-0000981A0000}"/>
    <cellStyle name="Normal 5 3 6 4 3 2" xfId="14561" xr:uid="{F892ED1E-BD7B-46B1-91B6-A359954F1AD4}"/>
    <cellStyle name="Normal 5 3 6 4 4" xfId="10348" xr:uid="{661B1F2A-5FA2-49B3-9B2E-D2C28B6A4166}"/>
    <cellStyle name="Normal 5 3 6 5" xfId="2173" xr:uid="{00000000-0005-0000-0000-0000991A0000}"/>
    <cellStyle name="Normal 5 3 6 5 2" xfId="4402" xr:uid="{00000000-0005-0000-0000-00009A1A0000}"/>
    <cellStyle name="Normal 5 3 6 5 2 2" xfId="8624" xr:uid="{00000000-0005-0000-0000-00009B1A0000}"/>
    <cellStyle name="Normal 5 3 6 5 2 2 2" xfId="17119" xr:uid="{19230785-868C-48DE-BFFA-D742D6B22A61}"/>
    <cellStyle name="Normal 5 3 6 5 2 3" xfId="12906" xr:uid="{5200FCA5-521A-48A7-9E58-46624F448D70}"/>
    <cellStyle name="Normal 5 3 6 5 3" xfId="6479" xr:uid="{00000000-0005-0000-0000-00009C1A0000}"/>
    <cellStyle name="Normal 5 3 6 5 3 2" xfId="14974" xr:uid="{EE2E2F2A-F407-4E09-836C-80D091CC982E}"/>
    <cellStyle name="Normal 5 3 6 5 4" xfId="10761" xr:uid="{BC952ECF-6B16-48AE-B7C4-2974179CE460}"/>
    <cellStyle name="Normal 5 3 6 6" xfId="2609" xr:uid="{00000000-0005-0000-0000-00009D1A0000}"/>
    <cellStyle name="Normal 5 3 6 6 2" xfId="6892" xr:uid="{00000000-0005-0000-0000-00009E1A0000}"/>
    <cellStyle name="Normal 5 3 6 6 2 2" xfId="15387" xr:uid="{9A583661-5B2D-417A-BEB0-7A0F73684289}"/>
    <cellStyle name="Normal 5 3 6 6 3" xfId="11174" xr:uid="{A2AF03A5-A75D-4729-8E94-FB45A71EA026}"/>
    <cellStyle name="Normal 5 3 6 7" xfId="4827" xr:uid="{00000000-0005-0000-0000-00009F1A0000}"/>
    <cellStyle name="Normal 5 3 6 7 2" xfId="13322" xr:uid="{9875A9DA-974D-4849-8F92-5C7216EEC91F}"/>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2 2 2" xfId="15865" xr:uid="{569A94DB-AD26-49A2-8D05-A2107CBA00D0}"/>
    <cellStyle name="Normal 5 3 7 2 3" xfId="11652" xr:uid="{97C80D95-F271-47A5-95B4-C41A4616A1EC}"/>
    <cellStyle name="Normal 5 3 7 3" xfId="5225" xr:uid="{00000000-0005-0000-0000-0000A31A0000}"/>
    <cellStyle name="Normal 5 3 7 3 2" xfId="13720" xr:uid="{7F11AC84-A560-4E72-8F32-FE4BB5FBF005}"/>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2 2 2" xfId="16278" xr:uid="{E062BB93-91AF-4FD4-9413-F5ABF1599917}"/>
    <cellStyle name="Normal 5 3 8 2 3" xfId="12065" xr:uid="{8F08E0E6-D416-4940-9D38-93176EFDB4E0}"/>
    <cellStyle name="Normal 5 3 8 3" xfId="5638" xr:uid="{00000000-0005-0000-0000-0000A71A0000}"/>
    <cellStyle name="Normal 5 3 8 3 2" xfId="14133" xr:uid="{3DDAD32D-9927-4BD7-A26F-7B53B8F2BB05}"/>
    <cellStyle name="Normal 5 3 8 4" xfId="9920" xr:uid="{FF490317-1A4D-43A9-BBAB-564E8F6600E9}"/>
    <cellStyle name="Normal 5 3 9" xfId="1744" xr:uid="{00000000-0005-0000-0000-0000A81A0000}"/>
    <cellStyle name="Normal 5 3 9 2" xfId="3974" xr:uid="{00000000-0005-0000-0000-0000A91A0000}"/>
    <cellStyle name="Normal 5 3 9 2 2" xfId="8196" xr:uid="{00000000-0005-0000-0000-0000AA1A0000}"/>
    <cellStyle name="Normal 5 3 9 2 2 2" xfId="16691" xr:uid="{3E19F649-8AC2-4DB8-BA66-5DBC86118E8B}"/>
    <cellStyle name="Normal 5 3 9 2 3" xfId="12478" xr:uid="{E8C24A59-A318-4F61-B89B-D0602E96CE1D}"/>
    <cellStyle name="Normal 5 3 9 3" xfId="6051" xr:uid="{00000000-0005-0000-0000-0000AB1A0000}"/>
    <cellStyle name="Normal 5 3 9 3 2" xfId="14546" xr:uid="{1E966FC5-74FB-48C5-B29E-5D3B3E1594D2}"/>
    <cellStyle name="Normal 5 3 9 4" xfId="10333" xr:uid="{BF7EEF8D-D2F2-4CD5-B326-D21040153F26}"/>
    <cellStyle name="Normal 5 4" xfId="456" xr:uid="{00000000-0005-0000-0000-0000AC1A0000}"/>
    <cellStyle name="Normal 5 4 10" xfId="4828" xr:uid="{00000000-0005-0000-0000-0000AD1A0000}"/>
    <cellStyle name="Normal 5 4 10 2" xfId="13323" xr:uid="{DFC8B794-437D-4B28-922F-51839210E866}"/>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84" xr:uid="{7FAD1044-C68A-40A8-88B8-12F8FE40C501}"/>
    <cellStyle name="Normal 5 4 2 2 2 2 2 3" xfId="11671" xr:uid="{F02FD447-D565-4FAB-BDF3-6E76594D95FD}"/>
    <cellStyle name="Normal 5 4 2 2 2 2 3" xfId="5244" xr:uid="{00000000-0005-0000-0000-0000B41A0000}"/>
    <cellStyle name="Normal 5 4 2 2 2 2 3 2" xfId="13739" xr:uid="{690044E4-7E6B-4139-92C6-A3AF9E3C88D3}"/>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97" xr:uid="{737070AB-FCBE-4198-9730-383F448B55E9}"/>
    <cellStyle name="Normal 5 4 2 2 2 3 2 3" xfId="12084" xr:uid="{9804BF7F-82C1-4D18-946B-7B3300448322}"/>
    <cellStyle name="Normal 5 4 2 2 2 3 3" xfId="5657" xr:uid="{00000000-0005-0000-0000-0000B81A0000}"/>
    <cellStyle name="Normal 5 4 2 2 2 3 3 2" xfId="14152" xr:uid="{DBD2E5D0-0596-48CF-8EE1-1A548CB25243}"/>
    <cellStyle name="Normal 5 4 2 2 2 3 4" xfId="9939" xr:uid="{132FD873-27D0-4FEA-B06C-B2E3539D9419}"/>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710" xr:uid="{9BE56755-11B1-4062-9FA1-B02966768D8C}"/>
    <cellStyle name="Normal 5 4 2 2 2 4 2 3" xfId="12497" xr:uid="{44CA9F64-29E5-417D-959C-69125C3CAFE9}"/>
    <cellStyle name="Normal 5 4 2 2 2 4 3" xfId="6070" xr:uid="{00000000-0005-0000-0000-0000BC1A0000}"/>
    <cellStyle name="Normal 5 4 2 2 2 4 3 2" xfId="14565" xr:uid="{E84FC0B2-CDFE-4AC5-AE31-3515CB9AA321}"/>
    <cellStyle name="Normal 5 4 2 2 2 4 4" xfId="10352" xr:uid="{7F5AE7A0-C9A3-407B-B6E8-C88BE621B6E3}"/>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123" xr:uid="{22D928BD-524E-4257-9E4B-0160CB6475F5}"/>
    <cellStyle name="Normal 5 4 2 2 2 5 2 3" xfId="12910" xr:uid="{8845D274-ED3C-4582-AE75-804633AD059A}"/>
    <cellStyle name="Normal 5 4 2 2 2 5 3" xfId="6483" xr:uid="{00000000-0005-0000-0000-0000C01A0000}"/>
    <cellStyle name="Normal 5 4 2 2 2 5 3 2" xfId="14978" xr:uid="{CE090081-9410-4AE3-A287-48E4465839DA}"/>
    <cellStyle name="Normal 5 4 2 2 2 5 4" xfId="10765" xr:uid="{553916F0-2D04-494A-BEAD-079B4AAE76F8}"/>
    <cellStyle name="Normal 5 4 2 2 2 6" xfId="2613" xr:uid="{00000000-0005-0000-0000-0000C11A0000}"/>
    <cellStyle name="Normal 5 4 2 2 2 6 2" xfId="6896" xr:uid="{00000000-0005-0000-0000-0000C21A0000}"/>
    <cellStyle name="Normal 5 4 2 2 2 6 2 2" xfId="15391" xr:uid="{A1A90E6B-7DD3-4F14-A34D-B00A5E9FB218}"/>
    <cellStyle name="Normal 5 4 2 2 2 6 3" xfId="11178" xr:uid="{9940ABBA-0FB3-4DD1-AE8D-E885D2063EE8}"/>
    <cellStyle name="Normal 5 4 2 2 2 7" xfId="4831" xr:uid="{00000000-0005-0000-0000-0000C31A0000}"/>
    <cellStyle name="Normal 5 4 2 2 2 7 2" xfId="13326" xr:uid="{60EB4871-2234-44D2-B550-C161B59E46FE}"/>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83" xr:uid="{C02435FE-2082-4980-A026-7D5472BC9BDF}"/>
    <cellStyle name="Normal 5 4 2 2 3 2 3" xfId="11670" xr:uid="{F2031BB3-BF58-497E-893B-9FC136CEA932}"/>
    <cellStyle name="Normal 5 4 2 2 3 3" xfId="5243" xr:uid="{00000000-0005-0000-0000-0000C71A0000}"/>
    <cellStyle name="Normal 5 4 2 2 3 3 2" xfId="13738" xr:uid="{4C8B26E3-5A13-4F6C-9070-2827D3765005}"/>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96" xr:uid="{68AB9AD7-1122-48C5-9688-F07EB1FF7064}"/>
    <cellStyle name="Normal 5 4 2 2 4 2 3" xfId="12083" xr:uid="{95AE10E9-FBA2-44B6-B4DB-30F278FD6E39}"/>
    <cellStyle name="Normal 5 4 2 2 4 3" xfId="5656" xr:uid="{00000000-0005-0000-0000-0000CB1A0000}"/>
    <cellStyle name="Normal 5 4 2 2 4 3 2" xfId="14151" xr:uid="{292A5D56-E17F-46D0-AF2F-9916C3D6F399}"/>
    <cellStyle name="Normal 5 4 2 2 4 4" xfId="9938" xr:uid="{8C284263-6E9F-4A2C-8274-F9BBC47628D8}"/>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709" xr:uid="{CB01378E-3CD7-47C2-952F-0837131F9FB5}"/>
    <cellStyle name="Normal 5 4 2 2 5 2 3" xfId="12496" xr:uid="{D52E6758-D3A4-4584-9EEA-94D68A55B4A1}"/>
    <cellStyle name="Normal 5 4 2 2 5 3" xfId="6069" xr:uid="{00000000-0005-0000-0000-0000CF1A0000}"/>
    <cellStyle name="Normal 5 4 2 2 5 3 2" xfId="14564" xr:uid="{0ECC36C3-5898-4B8E-8306-34B6EA34EF0D}"/>
    <cellStyle name="Normal 5 4 2 2 5 4" xfId="10351" xr:uid="{347D4A3A-F867-4550-80BF-6FB105FC083C}"/>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122" xr:uid="{B77A2700-9C92-4DB3-B585-AB7AD831E0E9}"/>
    <cellStyle name="Normal 5 4 2 2 6 2 3" xfId="12909" xr:uid="{8C433E2D-8AC9-4612-A2A9-70EA789A0CBE}"/>
    <cellStyle name="Normal 5 4 2 2 6 3" xfId="6482" xr:uid="{00000000-0005-0000-0000-0000D31A0000}"/>
    <cellStyle name="Normal 5 4 2 2 6 3 2" xfId="14977" xr:uid="{D6F2540A-E1CE-4528-8934-07267A39D8D1}"/>
    <cellStyle name="Normal 5 4 2 2 6 4" xfId="10764" xr:uid="{6D978DCD-CCF8-466D-95AB-F8FC8CD5F9C2}"/>
    <cellStyle name="Normal 5 4 2 2 7" xfId="2612" xr:uid="{00000000-0005-0000-0000-0000D41A0000}"/>
    <cellStyle name="Normal 5 4 2 2 7 2" xfId="6895" xr:uid="{00000000-0005-0000-0000-0000D51A0000}"/>
    <cellStyle name="Normal 5 4 2 2 7 2 2" xfId="15390" xr:uid="{7C354DB8-942A-4005-A8A8-39137A461682}"/>
    <cellStyle name="Normal 5 4 2 2 7 3" xfId="11177" xr:uid="{A51940BE-E97D-4050-92E3-87DDFB9D4A20}"/>
    <cellStyle name="Normal 5 4 2 2 8" xfId="4830" xr:uid="{00000000-0005-0000-0000-0000D61A0000}"/>
    <cellStyle name="Normal 5 4 2 2 8 2" xfId="13325" xr:uid="{F2B68057-85AC-416E-8552-6DD761621BDD}"/>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85" xr:uid="{5BD4D8BA-CE61-495A-9EB9-1B87D007BDCB}"/>
    <cellStyle name="Normal 5 4 2 3 2 2 3" xfId="11672" xr:uid="{9601369C-6057-40EA-B762-1B6AB49D999C}"/>
    <cellStyle name="Normal 5 4 2 3 2 3" xfId="5245" xr:uid="{00000000-0005-0000-0000-0000DB1A0000}"/>
    <cellStyle name="Normal 5 4 2 3 2 3 2" xfId="13740" xr:uid="{6FFFAEBA-2070-4C11-8491-A344ABA58B62}"/>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98" xr:uid="{A6F6C598-4EC1-4694-BBF6-86BA4E576D29}"/>
    <cellStyle name="Normal 5 4 2 3 3 2 3" xfId="12085" xr:uid="{F27500D3-012D-4EB6-A1FD-04AC006BC1A6}"/>
    <cellStyle name="Normal 5 4 2 3 3 3" xfId="5658" xr:uid="{00000000-0005-0000-0000-0000DF1A0000}"/>
    <cellStyle name="Normal 5 4 2 3 3 3 2" xfId="14153" xr:uid="{512365FF-8F91-44DA-86E6-EAEC5CA95914}"/>
    <cellStyle name="Normal 5 4 2 3 3 4" xfId="9940" xr:uid="{968DA1F8-4B59-4DF8-88E2-BA17F25B4FFF}"/>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711" xr:uid="{EF42811D-60A8-475B-93BB-43F9DC1F861F}"/>
    <cellStyle name="Normal 5 4 2 3 4 2 3" xfId="12498" xr:uid="{C0E2DAA7-E450-46CA-B965-4AD64A5C7D9D}"/>
    <cellStyle name="Normal 5 4 2 3 4 3" xfId="6071" xr:uid="{00000000-0005-0000-0000-0000E31A0000}"/>
    <cellStyle name="Normal 5 4 2 3 4 3 2" xfId="14566" xr:uid="{AE3A4653-8952-4FA5-8F28-02F8E05C10F0}"/>
    <cellStyle name="Normal 5 4 2 3 4 4" xfId="10353" xr:uid="{4E3E1A48-5057-4C60-B862-4849BA74CD84}"/>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124" xr:uid="{71D439C4-3898-4E4E-96B5-A55476358060}"/>
    <cellStyle name="Normal 5 4 2 3 5 2 3" xfId="12911" xr:uid="{DEEDD7C3-9394-4CB6-B1D8-81EA1B962840}"/>
    <cellStyle name="Normal 5 4 2 3 5 3" xfId="6484" xr:uid="{00000000-0005-0000-0000-0000E71A0000}"/>
    <cellStyle name="Normal 5 4 2 3 5 3 2" xfId="14979" xr:uid="{43CFADEF-A70C-4407-93AE-5BECA37DED56}"/>
    <cellStyle name="Normal 5 4 2 3 5 4" xfId="10766" xr:uid="{A9723FD6-2F9B-4FAC-A313-ED36B357B6BE}"/>
    <cellStyle name="Normal 5 4 2 3 6" xfId="2614" xr:uid="{00000000-0005-0000-0000-0000E81A0000}"/>
    <cellStyle name="Normal 5 4 2 3 6 2" xfId="6897" xr:uid="{00000000-0005-0000-0000-0000E91A0000}"/>
    <cellStyle name="Normal 5 4 2 3 6 2 2" xfId="15392" xr:uid="{6692337A-BD18-4AEB-8CBA-97DCA959F9FF}"/>
    <cellStyle name="Normal 5 4 2 3 6 3" xfId="11179" xr:uid="{4D8C51F3-25F6-435F-968C-3016F9D3C1B5}"/>
    <cellStyle name="Normal 5 4 2 3 7" xfId="4832" xr:uid="{00000000-0005-0000-0000-0000EA1A0000}"/>
    <cellStyle name="Normal 5 4 2 3 7 2" xfId="13327" xr:uid="{229C247E-6971-469E-8666-A7A435B16B07}"/>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2 2 2" xfId="15882" xr:uid="{8B05B694-8D72-4D40-8153-C60F06D28D89}"/>
    <cellStyle name="Normal 5 4 2 4 2 3" xfId="11669" xr:uid="{8BBD4401-C9A4-4B9F-B3CE-C7B7DAE37ACA}"/>
    <cellStyle name="Normal 5 4 2 4 3" xfId="5242" xr:uid="{00000000-0005-0000-0000-0000EE1A0000}"/>
    <cellStyle name="Normal 5 4 2 4 3 2" xfId="13737" xr:uid="{0EB5BE0A-B123-40D3-829B-27CF97AE59CD}"/>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2 2 2" xfId="16295" xr:uid="{942E1C61-1614-4E7F-A558-C804C851520D}"/>
    <cellStyle name="Normal 5 4 2 5 2 3" xfId="12082" xr:uid="{CC366997-BFF1-4779-AF70-76BEFD826033}"/>
    <cellStyle name="Normal 5 4 2 5 3" xfId="5655" xr:uid="{00000000-0005-0000-0000-0000F21A0000}"/>
    <cellStyle name="Normal 5 4 2 5 3 2" xfId="14150" xr:uid="{E031E080-B425-428F-92F6-A5C388CD0421}"/>
    <cellStyle name="Normal 5 4 2 5 4" xfId="9937" xr:uid="{7AE29F60-FA06-4C32-A80E-6F8C96B553F3}"/>
    <cellStyle name="Normal 5 4 2 6" xfId="1761" xr:uid="{00000000-0005-0000-0000-0000F31A0000}"/>
    <cellStyle name="Normal 5 4 2 6 2" xfId="3991" xr:uid="{00000000-0005-0000-0000-0000F41A0000}"/>
    <cellStyle name="Normal 5 4 2 6 2 2" xfId="8213" xr:uid="{00000000-0005-0000-0000-0000F51A0000}"/>
    <cellStyle name="Normal 5 4 2 6 2 2 2" xfId="16708" xr:uid="{5051C495-75B4-45BB-8BDF-C3D5C7D14E1D}"/>
    <cellStyle name="Normal 5 4 2 6 2 3" xfId="12495" xr:uid="{035C70DB-A495-4EED-9F57-3EB24BD38D29}"/>
    <cellStyle name="Normal 5 4 2 6 3" xfId="6068" xr:uid="{00000000-0005-0000-0000-0000F61A0000}"/>
    <cellStyle name="Normal 5 4 2 6 3 2" xfId="14563" xr:uid="{14B85FC3-63AF-4054-ACC5-430C92850F7B}"/>
    <cellStyle name="Normal 5 4 2 6 4" xfId="10350" xr:uid="{D1328361-6D01-4DD0-8273-F056338B27C8}"/>
    <cellStyle name="Normal 5 4 2 7" xfId="2175" xr:uid="{00000000-0005-0000-0000-0000F71A0000}"/>
    <cellStyle name="Normal 5 4 2 7 2" xfId="4404" xr:uid="{00000000-0005-0000-0000-0000F81A0000}"/>
    <cellStyle name="Normal 5 4 2 7 2 2" xfId="8626" xr:uid="{00000000-0005-0000-0000-0000F91A0000}"/>
    <cellStyle name="Normal 5 4 2 7 2 2 2" xfId="17121" xr:uid="{64B0A674-D146-427F-8B64-3FBF50DCD3A5}"/>
    <cellStyle name="Normal 5 4 2 7 2 3" xfId="12908" xr:uid="{788E8E7B-07B1-46AA-88F7-9C7A52DF7A85}"/>
    <cellStyle name="Normal 5 4 2 7 3" xfId="6481" xr:uid="{00000000-0005-0000-0000-0000FA1A0000}"/>
    <cellStyle name="Normal 5 4 2 7 3 2" xfId="14976" xr:uid="{FB5C2A63-6D30-405E-B072-9205FF8E46E8}"/>
    <cellStyle name="Normal 5 4 2 7 4" xfId="10763" xr:uid="{37E3F8B1-8B31-4CAA-94CF-8A4C8A9ECCB6}"/>
    <cellStyle name="Normal 5 4 2 8" xfId="2611" xr:uid="{00000000-0005-0000-0000-0000FB1A0000}"/>
    <cellStyle name="Normal 5 4 2 8 2" xfId="6894" xr:uid="{00000000-0005-0000-0000-0000FC1A0000}"/>
    <cellStyle name="Normal 5 4 2 8 2 2" xfId="15389" xr:uid="{C259F4AD-BF69-4AE8-9AE2-6FE5D87EC44E}"/>
    <cellStyle name="Normal 5 4 2 8 3" xfId="11176" xr:uid="{5E105633-BAC4-4BCA-A13C-E1EDCDF64BF8}"/>
    <cellStyle name="Normal 5 4 2 9" xfId="4829" xr:uid="{00000000-0005-0000-0000-0000FD1A0000}"/>
    <cellStyle name="Normal 5 4 2 9 2" xfId="13324" xr:uid="{5CDEE064-831B-42A2-A617-872FDC0C7F3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87" xr:uid="{08AB935A-C3CB-40F5-BF18-53AA28A76733}"/>
    <cellStyle name="Normal 5 4 3 2 2 2 3" xfId="11674" xr:uid="{0FBEFD9D-2AFC-4DC1-84FB-D7B7D518C8D5}"/>
    <cellStyle name="Normal 5 4 3 2 2 3" xfId="5247" xr:uid="{00000000-0005-0000-0000-0000031B0000}"/>
    <cellStyle name="Normal 5 4 3 2 2 3 2" xfId="13742" xr:uid="{CBA18191-FD64-4DAF-BECB-5D3B7AAD775B}"/>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300" xr:uid="{0C18EDE1-A7FA-4D54-A5CA-AB3524420CD6}"/>
    <cellStyle name="Normal 5 4 3 2 3 2 3" xfId="12087" xr:uid="{013945DE-4668-40A0-8D92-DD718399F10B}"/>
    <cellStyle name="Normal 5 4 3 2 3 3" xfId="5660" xr:uid="{00000000-0005-0000-0000-0000071B0000}"/>
    <cellStyle name="Normal 5 4 3 2 3 3 2" xfId="14155" xr:uid="{BCA6EE52-B985-4101-AEF8-3B45BC95A95A}"/>
    <cellStyle name="Normal 5 4 3 2 3 4" xfId="9942" xr:uid="{3ADC86D5-E56B-4ABA-AD66-1A1ADA992A18}"/>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713" xr:uid="{72FE4FF1-4048-4705-B395-78A48C174EFF}"/>
    <cellStyle name="Normal 5 4 3 2 4 2 3" xfId="12500" xr:uid="{4D74DD8E-59BD-4AEF-9B3C-B11B339A2AB7}"/>
    <cellStyle name="Normal 5 4 3 2 4 3" xfId="6073" xr:uid="{00000000-0005-0000-0000-00000B1B0000}"/>
    <cellStyle name="Normal 5 4 3 2 4 3 2" xfId="14568" xr:uid="{4E21AEC7-8949-4E8D-B635-FE9484E84EC9}"/>
    <cellStyle name="Normal 5 4 3 2 4 4" xfId="10355" xr:uid="{2D47D1AC-25D5-40ED-88C9-33071877B55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126" xr:uid="{00A79995-DA75-426B-B3E7-22259D201429}"/>
    <cellStyle name="Normal 5 4 3 2 5 2 3" xfId="12913" xr:uid="{2528B438-AD1A-48E0-BBB2-45FBCD51D98E}"/>
    <cellStyle name="Normal 5 4 3 2 5 3" xfId="6486" xr:uid="{00000000-0005-0000-0000-00000F1B0000}"/>
    <cellStyle name="Normal 5 4 3 2 5 3 2" xfId="14981" xr:uid="{E84D83E0-9390-4932-961C-70C8A73C0629}"/>
    <cellStyle name="Normal 5 4 3 2 5 4" xfId="10768" xr:uid="{7E91F9D8-E771-49A9-9345-01041E3A43BE}"/>
    <cellStyle name="Normal 5 4 3 2 6" xfId="2616" xr:uid="{00000000-0005-0000-0000-0000101B0000}"/>
    <cellStyle name="Normal 5 4 3 2 6 2" xfId="6899" xr:uid="{00000000-0005-0000-0000-0000111B0000}"/>
    <cellStyle name="Normal 5 4 3 2 6 2 2" xfId="15394" xr:uid="{0E61D651-B717-4E56-91F3-33A643896684}"/>
    <cellStyle name="Normal 5 4 3 2 6 3" xfId="11181" xr:uid="{4A023183-E202-4FA8-8ABC-63420BE859D2}"/>
    <cellStyle name="Normal 5 4 3 2 7" xfId="4834" xr:uid="{00000000-0005-0000-0000-0000121B0000}"/>
    <cellStyle name="Normal 5 4 3 2 7 2" xfId="13329" xr:uid="{0802414B-34C0-475D-BD7B-8B464BA86342}"/>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2 2 2" xfId="15886" xr:uid="{364BEEE6-F000-442E-B365-EA85F1AF4263}"/>
    <cellStyle name="Normal 5 4 3 3 2 3" xfId="11673" xr:uid="{12F9B191-EB04-48EE-A86C-50B7EA7431EA}"/>
    <cellStyle name="Normal 5 4 3 3 3" xfId="5246" xr:uid="{00000000-0005-0000-0000-0000161B0000}"/>
    <cellStyle name="Normal 5 4 3 3 3 2" xfId="13741" xr:uid="{58ED94EB-8023-403B-A724-8DFA6D9CB71D}"/>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2 2 2" xfId="16299" xr:uid="{E55B86BC-F5EF-425A-AB79-E94F2D32F24C}"/>
    <cellStyle name="Normal 5 4 3 4 2 3" xfId="12086" xr:uid="{37CB51F4-104C-4B3F-8646-98E179FF9D1E}"/>
    <cellStyle name="Normal 5 4 3 4 3" xfId="5659" xr:uid="{00000000-0005-0000-0000-00001A1B0000}"/>
    <cellStyle name="Normal 5 4 3 4 3 2" xfId="14154" xr:uid="{2C1BD21D-B16E-4E10-BEE9-8C4808766DFD}"/>
    <cellStyle name="Normal 5 4 3 4 4" xfId="9941" xr:uid="{BBCD7065-9AFA-47EA-B394-EE22D3A62BEF}"/>
    <cellStyle name="Normal 5 4 3 5" xfId="1765" xr:uid="{00000000-0005-0000-0000-00001B1B0000}"/>
    <cellStyle name="Normal 5 4 3 5 2" xfId="3995" xr:uid="{00000000-0005-0000-0000-00001C1B0000}"/>
    <cellStyle name="Normal 5 4 3 5 2 2" xfId="8217" xr:uid="{00000000-0005-0000-0000-00001D1B0000}"/>
    <cellStyle name="Normal 5 4 3 5 2 2 2" xfId="16712" xr:uid="{0D7325A1-6F7C-4DD1-A64F-2033BC552EFF}"/>
    <cellStyle name="Normal 5 4 3 5 2 3" xfId="12499" xr:uid="{9B6682C2-864B-4537-BAA3-858451956196}"/>
    <cellStyle name="Normal 5 4 3 5 3" xfId="6072" xr:uid="{00000000-0005-0000-0000-00001E1B0000}"/>
    <cellStyle name="Normal 5 4 3 5 3 2" xfId="14567" xr:uid="{B7CFDBB9-E1C9-4836-BD57-8FADC3C83BF7}"/>
    <cellStyle name="Normal 5 4 3 5 4" xfId="10354" xr:uid="{BFFA2172-0F0B-4225-A902-CC2BE3DFA233}"/>
    <cellStyle name="Normal 5 4 3 6" xfId="2179" xr:uid="{00000000-0005-0000-0000-00001F1B0000}"/>
    <cellStyle name="Normal 5 4 3 6 2" xfId="4408" xr:uid="{00000000-0005-0000-0000-0000201B0000}"/>
    <cellStyle name="Normal 5 4 3 6 2 2" xfId="8630" xr:uid="{00000000-0005-0000-0000-0000211B0000}"/>
    <cellStyle name="Normal 5 4 3 6 2 2 2" xfId="17125" xr:uid="{BA13DDD4-37C7-4F38-AD4D-263F37A3AA1A}"/>
    <cellStyle name="Normal 5 4 3 6 2 3" xfId="12912" xr:uid="{5D7607B5-300B-492B-85E3-19CFCA8CBBAA}"/>
    <cellStyle name="Normal 5 4 3 6 3" xfId="6485" xr:uid="{00000000-0005-0000-0000-0000221B0000}"/>
    <cellStyle name="Normal 5 4 3 6 3 2" xfId="14980" xr:uid="{CE769CAB-C2C2-44F7-A78D-E3115CC13A29}"/>
    <cellStyle name="Normal 5 4 3 6 4" xfId="10767" xr:uid="{FCDF086B-BD2A-45EA-B13A-2EBEC8A770CB}"/>
    <cellStyle name="Normal 5 4 3 7" xfId="2615" xr:uid="{00000000-0005-0000-0000-0000231B0000}"/>
    <cellStyle name="Normal 5 4 3 7 2" xfId="6898" xr:uid="{00000000-0005-0000-0000-0000241B0000}"/>
    <cellStyle name="Normal 5 4 3 7 2 2" xfId="15393" xr:uid="{AFA1CE39-CDF9-449B-B9BE-2BE57F6CF362}"/>
    <cellStyle name="Normal 5 4 3 7 3" xfId="11180" xr:uid="{E5FC94DA-0ADE-4DEF-8826-94AADC5D4A75}"/>
    <cellStyle name="Normal 5 4 3 8" xfId="4833" xr:uid="{00000000-0005-0000-0000-0000251B0000}"/>
    <cellStyle name="Normal 5 4 3 8 2" xfId="13328" xr:uid="{80A6BBB8-3282-4264-8342-65118B45EFF7}"/>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88" xr:uid="{F126CDB5-9E46-43AE-9358-08501B8B66E8}"/>
    <cellStyle name="Normal 5 4 4 2 2 3" xfId="11675" xr:uid="{53EAB05F-AB61-4801-B834-44AC46500493}"/>
    <cellStyle name="Normal 5 4 4 2 3" xfId="5248" xr:uid="{00000000-0005-0000-0000-00002A1B0000}"/>
    <cellStyle name="Normal 5 4 4 2 3 2" xfId="13743" xr:uid="{BC7E21F8-2E35-4A43-803E-5CF6D3A6162E}"/>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2 2 2" xfId="16301" xr:uid="{B8E71AD0-C075-4ACE-A08A-6393246D9816}"/>
    <cellStyle name="Normal 5 4 4 3 2 3" xfId="12088" xr:uid="{C7A288F9-2E21-49EE-8CC4-FA386E755B65}"/>
    <cellStyle name="Normal 5 4 4 3 3" xfId="5661" xr:uid="{00000000-0005-0000-0000-00002E1B0000}"/>
    <cellStyle name="Normal 5 4 4 3 3 2" xfId="14156" xr:uid="{3F74CB2A-B5E6-44E6-B41C-84C29928A83A}"/>
    <cellStyle name="Normal 5 4 4 3 4" xfId="9943" xr:uid="{8DE841D1-4395-4A18-A91D-E3A38414B561}"/>
    <cellStyle name="Normal 5 4 4 4" xfId="1767" xr:uid="{00000000-0005-0000-0000-00002F1B0000}"/>
    <cellStyle name="Normal 5 4 4 4 2" xfId="3997" xr:uid="{00000000-0005-0000-0000-0000301B0000}"/>
    <cellStyle name="Normal 5 4 4 4 2 2" xfId="8219" xr:uid="{00000000-0005-0000-0000-0000311B0000}"/>
    <cellStyle name="Normal 5 4 4 4 2 2 2" xfId="16714" xr:uid="{FD3F01C4-B8EE-43E8-8E77-031AB024C0C7}"/>
    <cellStyle name="Normal 5 4 4 4 2 3" xfId="12501" xr:uid="{DFDDD8CF-80B8-4991-A7EE-297FE7C3D4AD}"/>
    <cellStyle name="Normal 5 4 4 4 3" xfId="6074" xr:uid="{00000000-0005-0000-0000-0000321B0000}"/>
    <cellStyle name="Normal 5 4 4 4 3 2" xfId="14569" xr:uid="{CFD22ECB-8A58-480C-B4C8-3EB69369252D}"/>
    <cellStyle name="Normal 5 4 4 4 4" xfId="10356" xr:uid="{5CBC3C56-97F5-432D-AF3F-42FA97080D6D}"/>
    <cellStyle name="Normal 5 4 4 5" xfId="2181" xr:uid="{00000000-0005-0000-0000-0000331B0000}"/>
    <cellStyle name="Normal 5 4 4 5 2" xfId="4410" xr:uid="{00000000-0005-0000-0000-0000341B0000}"/>
    <cellStyle name="Normal 5 4 4 5 2 2" xfId="8632" xr:uid="{00000000-0005-0000-0000-0000351B0000}"/>
    <cellStyle name="Normal 5 4 4 5 2 2 2" xfId="17127" xr:uid="{5752584B-2E00-48C5-A4FF-960DCB123F74}"/>
    <cellStyle name="Normal 5 4 4 5 2 3" xfId="12914" xr:uid="{A6EC77E8-64C0-4810-AFD0-91EF853D3BDE}"/>
    <cellStyle name="Normal 5 4 4 5 3" xfId="6487" xr:uid="{00000000-0005-0000-0000-0000361B0000}"/>
    <cellStyle name="Normal 5 4 4 5 3 2" xfId="14982" xr:uid="{ED183C71-C319-4848-B4A3-D31D376FAE80}"/>
    <cellStyle name="Normal 5 4 4 5 4" xfId="10769" xr:uid="{7952C7BE-E626-4EF3-BF83-30775E61298D}"/>
    <cellStyle name="Normal 5 4 4 6" xfId="2617" xr:uid="{00000000-0005-0000-0000-0000371B0000}"/>
    <cellStyle name="Normal 5 4 4 6 2" xfId="6900" xr:uid="{00000000-0005-0000-0000-0000381B0000}"/>
    <cellStyle name="Normal 5 4 4 6 2 2" xfId="15395" xr:uid="{3CC1A5FD-79A7-4155-914F-02A3F5311166}"/>
    <cellStyle name="Normal 5 4 4 6 3" xfId="11182" xr:uid="{8FDA29BC-BA7E-400F-A58E-4BF6ACE55685}"/>
    <cellStyle name="Normal 5 4 4 7" xfId="4835" xr:uid="{00000000-0005-0000-0000-0000391B0000}"/>
    <cellStyle name="Normal 5 4 4 7 2" xfId="13330" xr:uid="{6E294F5B-5E05-463E-8639-EE296B0AD92C}"/>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2 2 2" xfId="15881" xr:uid="{5AE098E0-674D-499E-BBD1-21DB2A4FDBA2}"/>
    <cellStyle name="Normal 5 4 5 2 3" xfId="11668" xr:uid="{7F39E7B7-88EB-4390-AE23-7485B1FE111D}"/>
    <cellStyle name="Normal 5 4 5 3" xfId="5241" xr:uid="{00000000-0005-0000-0000-00003D1B0000}"/>
    <cellStyle name="Normal 5 4 5 3 2" xfId="13736" xr:uid="{6DC22182-09C7-474E-96CD-5C9B0AC410F4}"/>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2 2 2" xfId="16294" xr:uid="{484D4B53-BC08-47CC-81F4-A881976A3F9B}"/>
    <cellStyle name="Normal 5 4 6 2 3" xfId="12081" xr:uid="{8EEE7AF2-F04D-43C2-8F07-3A2A47575C6E}"/>
    <cellStyle name="Normal 5 4 6 3" xfId="5654" xr:uid="{00000000-0005-0000-0000-0000411B0000}"/>
    <cellStyle name="Normal 5 4 6 3 2" xfId="14149" xr:uid="{64F325D5-B18B-4290-A5FC-4A637B8B1A70}"/>
    <cellStyle name="Normal 5 4 6 4" xfId="9936" xr:uid="{301E6AD6-C2DA-4267-82B8-CF42F7F20D75}"/>
    <cellStyle name="Normal 5 4 7" xfId="1760" xr:uid="{00000000-0005-0000-0000-0000421B0000}"/>
    <cellStyle name="Normal 5 4 7 2" xfId="3990" xr:uid="{00000000-0005-0000-0000-0000431B0000}"/>
    <cellStyle name="Normal 5 4 7 2 2" xfId="8212" xr:uid="{00000000-0005-0000-0000-0000441B0000}"/>
    <cellStyle name="Normal 5 4 7 2 2 2" xfId="16707" xr:uid="{DD1DA090-08FA-4E5E-8E24-72FCF70A6A9A}"/>
    <cellStyle name="Normal 5 4 7 2 3" xfId="12494" xr:uid="{F186446D-CEA5-4813-9748-0ABE497D56E0}"/>
    <cellStyle name="Normal 5 4 7 3" xfId="6067" xr:uid="{00000000-0005-0000-0000-0000451B0000}"/>
    <cellStyle name="Normal 5 4 7 3 2" xfId="14562" xr:uid="{7810C0C9-4144-4AC4-A6EF-0090E71A8A40}"/>
    <cellStyle name="Normal 5 4 7 4" xfId="10349" xr:uid="{4C968E1F-DBED-45A0-9E87-71E614709594}"/>
    <cellStyle name="Normal 5 4 8" xfId="2174" xr:uid="{00000000-0005-0000-0000-0000461B0000}"/>
    <cellStyle name="Normal 5 4 8 2" xfId="4403" xr:uid="{00000000-0005-0000-0000-0000471B0000}"/>
    <cellStyle name="Normal 5 4 8 2 2" xfId="8625" xr:uid="{00000000-0005-0000-0000-0000481B0000}"/>
    <cellStyle name="Normal 5 4 8 2 2 2" xfId="17120" xr:uid="{A769A999-2FF5-4AF9-8574-02B3D50B0B4F}"/>
    <cellStyle name="Normal 5 4 8 2 3" xfId="12907" xr:uid="{C9D6E43F-2C26-4C71-8777-5114599AF1A8}"/>
    <cellStyle name="Normal 5 4 8 3" xfId="6480" xr:uid="{00000000-0005-0000-0000-0000491B0000}"/>
    <cellStyle name="Normal 5 4 8 3 2" xfId="14975" xr:uid="{F9F28305-D6D4-48E1-AB37-620E95FA0AD1}"/>
    <cellStyle name="Normal 5 4 8 4" xfId="10762" xr:uid="{E92F36B2-10AA-47DF-A508-3CA89F2961C0}"/>
    <cellStyle name="Normal 5 4 9" xfId="2610" xr:uid="{00000000-0005-0000-0000-00004A1B0000}"/>
    <cellStyle name="Normal 5 4 9 2" xfId="6893" xr:uid="{00000000-0005-0000-0000-00004B1B0000}"/>
    <cellStyle name="Normal 5 4 9 2 2" xfId="15388" xr:uid="{6EFF09E0-0CF6-4017-8BE8-1C45265F6AA0}"/>
    <cellStyle name="Normal 5 4 9 3" xfId="11175" xr:uid="{507F5D80-2C5A-4C83-9C50-AFE7C2A116E1}"/>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91" xr:uid="{A9C4B2A7-7F4C-4F04-AEAE-046CDFBD39F4}"/>
    <cellStyle name="Normal 5 5 2 2 2 2 3" xfId="11678" xr:uid="{6FAA7678-3F49-4120-8BDC-85557EEAF7BE}"/>
    <cellStyle name="Normal 5 5 2 2 2 3" xfId="5251" xr:uid="{00000000-0005-0000-0000-0000521B0000}"/>
    <cellStyle name="Normal 5 5 2 2 2 3 2" xfId="13746" xr:uid="{15412B20-8B2C-4084-A7AD-96415DC79942}"/>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304" xr:uid="{8B535B4F-570D-4D20-8FD3-D0C9E424B430}"/>
    <cellStyle name="Normal 5 5 2 2 3 2 3" xfId="12091" xr:uid="{9511204A-EDC1-48F0-AFAF-A41444395317}"/>
    <cellStyle name="Normal 5 5 2 2 3 3" xfId="5664" xr:uid="{00000000-0005-0000-0000-0000561B0000}"/>
    <cellStyle name="Normal 5 5 2 2 3 3 2" xfId="14159" xr:uid="{F71C391B-8103-4A3C-9FCD-6BD684786838}"/>
    <cellStyle name="Normal 5 5 2 2 3 4" xfId="9946" xr:uid="{16E07EF5-3096-4899-BA88-B9DC62F0BF03}"/>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717" xr:uid="{8C0B93C5-113B-4D95-BC19-BEDD0C579C24}"/>
    <cellStyle name="Normal 5 5 2 2 4 2 3" xfId="12504" xr:uid="{A0DA188D-9851-4F8B-9D66-72BAE386099D}"/>
    <cellStyle name="Normal 5 5 2 2 4 3" xfId="6077" xr:uid="{00000000-0005-0000-0000-00005A1B0000}"/>
    <cellStyle name="Normal 5 5 2 2 4 3 2" xfId="14572" xr:uid="{D8FA4224-B108-438E-90BF-F0AC873935FE}"/>
    <cellStyle name="Normal 5 5 2 2 4 4" xfId="10359" xr:uid="{F809A152-7DA0-4AE0-9C38-762449B6BF24}"/>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130" xr:uid="{05C2C73D-83E7-43B7-BFF2-66C6DD6DDEA1}"/>
    <cellStyle name="Normal 5 5 2 2 5 2 3" xfId="12917" xr:uid="{9938E696-F5F1-45C8-B407-078AEC2B96D5}"/>
    <cellStyle name="Normal 5 5 2 2 5 3" xfId="6490" xr:uid="{00000000-0005-0000-0000-00005E1B0000}"/>
    <cellStyle name="Normal 5 5 2 2 5 3 2" xfId="14985" xr:uid="{36098BCC-47B4-4136-B142-B0151DB52FA1}"/>
    <cellStyle name="Normal 5 5 2 2 5 4" xfId="10772" xr:uid="{3BA46A8D-B0D9-4D02-AFAD-7EB669DC6DAB}"/>
    <cellStyle name="Normal 5 5 2 2 6" xfId="2620" xr:uid="{00000000-0005-0000-0000-00005F1B0000}"/>
    <cellStyle name="Normal 5 5 2 2 6 2" xfId="6903" xr:uid="{00000000-0005-0000-0000-0000601B0000}"/>
    <cellStyle name="Normal 5 5 2 2 6 2 2" xfId="15398" xr:uid="{756CF25D-188A-4D5A-910F-FBA929E0A202}"/>
    <cellStyle name="Normal 5 5 2 2 6 3" xfId="11185" xr:uid="{488AC100-F298-486E-92B4-46E51A379F5D}"/>
    <cellStyle name="Normal 5 5 2 2 7" xfId="4838" xr:uid="{00000000-0005-0000-0000-0000611B0000}"/>
    <cellStyle name="Normal 5 5 2 2 7 2" xfId="13333" xr:uid="{B627D769-45A5-478C-A2A3-3E3BAFC2D514}"/>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2 2 2" xfId="15890" xr:uid="{78C23112-5C39-4688-B5C7-91C48727D7F4}"/>
    <cellStyle name="Normal 5 5 2 3 2 3" xfId="11677" xr:uid="{700AE386-3EC0-4CEE-B0C0-928698812F7E}"/>
    <cellStyle name="Normal 5 5 2 3 3" xfId="5250" xr:uid="{00000000-0005-0000-0000-0000651B0000}"/>
    <cellStyle name="Normal 5 5 2 3 3 2" xfId="13745" xr:uid="{BDE9BC4B-FEC2-401F-97D6-E1D78910FED7}"/>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2 2 2" xfId="16303" xr:uid="{3E635A2D-47AA-49DC-AE0B-ED7570AC1054}"/>
    <cellStyle name="Normal 5 5 2 4 2 3" xfId="12090" xr:uid="{0C54EB03-32BD-420D-B1DB-0DD782D7E04C}"/>
    <cellStyle name="Normal 5 5 2 4 3" xfId="5663" xr:uid="{00000000-0005-0000-0000-0000691B0000}"/>
    <cellStyle name="Normal 5 5 2 4 3 2" xfId="14158" xr:uid="{83319289-5FA1-46B7-93AD-9018F432C752}"/>
    <cellStyle name="Normal 5 5 2 4 4" xfId="9945" xr:uid="{A1B3F6D1-CB88-48B5-B2A9-EB5BDFEEE7EA}"/>
    <cellStyle name="Normal 5 5 2 5" xfId="1769" xr:uid="{00000000-0005-0000-0000-00006A1B0000}"/>
    <cellStyle name="Normal 5 5 2 5 2" xfId="3999" xr:uid="{00000000-0005-0000-0000-00006B1B0000}"/>
    <cellStyle name="Normal 5 5 2 5 2 2" xfId="8221" xr:uid="{00000000-0005-0000-0000-00006C1B0000}"/>
    <cellStyle name="Normal 5 5 2 5 2 2 2" xfId="16716" xr:uid="{6367103B-E9EF-4A38-9581-76DE99974A3B}"/>
    <cellStyle name="Normal 5 5 2 5 2 3" xfId="12503" xr:uid="{CF3A6B7E-7819-4F84-8B1A-88E271AF0500}"/>
    <cellStyle name="Normal 5 5 2 5 3" xfId="6076" xr:uid="{00000000-0005-0000-0000-00006D1B0000}"/>
    <cellStyle name="Normal 5 5 2 5 3 2" xfId="14571" xr:uid="{BC1C2A79-FB62-4447-8EE7-1D4287967208}"/>
    <cellStyle name="Normal 5 5 2 5 4" xfId="10358" xr:uid="{B2721D47-4A8B-4149-BED5-FE56E845605C}"/>
    <cellStyle name="Normal 5 5 2 6" xfId="2183" xr:uid="{00000000-0005-0000-0000-00006E1B0000}"/>
    <cellStyle name="Normal 5 5 2 6 2" xfId="4412" xr:uid="{00000000-0005-0000-0000-00006F1B0000}"/>
    <cellStyle name="Normal 5 5 2 6 2 2" xfId="8634" xr:uid="{00000000-0005-0000-0000-0000701B0000}"/>
    <cellStyle name="Normal 5 5 2 6 2 2 2" xfId="17129" xr:uid="{39687B21-5676-4D32-B0E1-3D19362CD30D}"/>
    <cellStyle name="Normal 5 5 2 6 2 3" xfId="12916" xr:uid="{8177EB3F-5411-4A65-B9A8-5CDA74EF9211}"/>
    <cellStyle name="Normal 5 5 2 6 3" xfId="6489" xr:uid="{00000000-0005-0000-0000-0000711B0000}"/>
    <cellStyle name="Normal 5 5 2 6 3 2" xfId="14984" xr:uid="{6BC73456-9E2B-4951-B1B5-C1DF35F62739}"/>
    <cellStyle name="Normal 5 5 2 6 4" xfId="10771" xr:uid="{9E206FF1-C445-4569-B6CF-B57754A76B63}"/>
    <cellStyle name="Normal 5 5 2 7" xfId="2619" xr:uid="{00000000-0005-0000-0000-0000721B0000}"/>
    <cellStyle name="Normal 5 5 2 7 2" xfId="6902" xr:uid="{00000000-0005-0000-0000-0000731B0000}"/>
    <cellStyle name="Normal 5 5 2 7 2 2" xfId="15397" xr:uid="{B6BC768A-2FC3-42A1-84C2-1D980671DF69}"/>
    <cellStyle name="Normal 5 5 2 7 3" xfId="11184" xr:uid="{4ADA0C3B-4D4E-4B8A-9212-8A9671A25BB7}"/>
    <cellStyle name="Normal 5 5 2 8" xfId="4837" xr:uid="{00000000-0005-0000-0000-0000741B0000}"/>
    <cellStyle name="Normal 5 5 2 8 2" xfId="13332" xr:uid="{848ADA30-3348-4BFD-8563-4404927A36F9}"/>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92" xr:uid="{7FCF72BF-FA07-45D3-91A2-1455BCD1EEEE}"/>
    <cellStyle name="Normal 5 5 3 2 2 3" xfId="11679" xr:uid="{065123D4-CFA4-44B8-B0F8-EEB86B7AF341}"/>
    <cellStyle name="Normal 5 5 3 2 3" xfId="5252" xr:uid="{00000000-0005-0000-0000-0000791B0000}"/>
    <cellStyle name="Normal 5 5 3 2 3 2" xfId="13747" xr:uid="{EF895BBF-E696-434E-8CD6-FECA4D65CC4B}"/>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2 2 2" xfId="16305" xr:uid="{AA656769-EAE2-44B1-A3DA-A4B85F661FB1}"/>
    <cellStyle name="Normal 5 5 3 3 2 3" xfId="12092" xr:uid="{53C097D9-6BE1-4F7C-9CD6-F6DCFA317803}"/>
    <cellStyle name="Normal 5 5 3 3 3" xfId="5665" xr:uid="{00000000-0005-0000-0000-00007D1B0000}"/>
    <cellStyle name="Normal 5 5 3 3 3 2" xfId="14160" xr:uid="{7C9E79C7-6322-455D-9FC3-DB1F0D56EB2A}"/>
    <cellStyle name="Normal 5 5 3 3 4" xfId="9947" xr:uid="{91A4DC6A-6B39-4CCC-BD65-C51050188197}"/>
    <cellStyle name="Normal 5 5 3 4" xfId="1771" xr:uid="{00000000-0005-0000-0000-00007E1B0000}"/>
    <cellStyle name="Normal 5 5 3 4 2" xfId="4001" xr:uid="{00000000-0005-0000-0000-00007F1B0000}"/>
    <cellStyle name="Normal 5 5 3 4 2 2" xfId="8223" xr:uid="{00000000-0005-0000-0000-0000801B0000}"/>
    <cellStyle name="Normal 5 5 3 4 2 2 2" xfId="16718" xr:uid="{6FE2A643-CD12-406D-AB17-3D5C8AA5293A}"/>
    <cellStyle name="Normal 5 5 3 4 2 3" xfId="12505" xr:uid="{824B4AAB-9015-4B91-A477-DC5844915381}"/>
    <cellStyle name="Normal 5 5 3 4 3" xfId="6078" xr:uid="{00000000-0005-0000-0000-0000811B0000}"/>
    <cellStyle name="Normal 5 5 3 4 3 2" xfId="14573" xr:uid="{AE80256F-3FA3-49EE-A8E9-37E6120F4F12}"/>
    <cellStyle name="Normal 5 5 3 4 4" xfId="10360" xr:uid="{814DEA3E-144B-484B-9845-77741292CB9B}"/>
    <cellStyle name="Normal 5 5 3 5" xfId="2185" xr:uid="{00000000-0005-0000-0000-0000821B0000}"/>
    <cellStyle name="Normal 5 5 3 5 2" xfId="4414" xr:uid="{00000000-0005-0000-0000-0000831B0000}"/>
    <cellStyle name="Normal 5 5 3 5 2 2" xfId="8636" xr:uid="{00000000-0005-0000-0000-0000841B0000}"/>
    <cellStyle name="Normal 5 5 3 5 2 2 2" xfId="17131" xr:uid="{4AE1BA08-317C-4069-8174-8562347D4869}"/>
    <cellStyle name="Normal 5 5 3 5 2 3" xfId="12918" xr:uid="{B1B51150-F827-43D2-8ADD-D81D769AAADB}"/>
    <cellStyle name="Normal 5 5 3 5 3" xfId="6491" xr:uid="{00000000-0005-0000-0000-0000851B0000}"/>
    <cellStyle name="Normal 5 5 3 5 3 2" xfId="14986" xr:uid="{4193BBE4-49D3-401D-BAE7-4DCF52ABA4F9}"/>
    <cellStyle name="Normal 5 5 3 5 4" xfId="10773" xr:uid="{255B8374-7506-4911-ADBC-DD02C9F578E4}"/>
    <cellStyle name="Normal 5 5 3 6" xfId="2621" xr:uid="{00000000-0005-0000-0000-0000861B0000}"/>
    <cellStyle name="Normal 5 5 3 6 2" xfId="6904" xr:uid="{00000000-0005-0000-0000-0000871B0000}"/>
    <cellStyle name="Normal 5 5 3 6 2 2" xfId="15399" xr:uid="{4A2AF799-3D59-49F9-BD07-0270FD308A09}"/>
    <cellStyle name="Normal 5 5 3 6 3" xfId="11186" xr:uid="{EAC34E97-8442-4619-A069-523C0EEF485B}"/>
    <cellStyle name="Normal 5 5 3 7" xfId="4839" xr:uid="{00000000-0005-0000-0000-0000881B0000}"/>
    <cellStyle name="Normal 5 5 3 7 2" xfId="13334" xr:uid="{F08070E7-BC8C-4228-8455-EBB3E4E07357}"/>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2 2 2" xfId="15889" xr:uid="{45A86C1C-BCEB-4DFE-87B0-BB27EA52DF63}"/>
    <cellStyle name="Normal 5 5 4 2 3" xfId="11676" xr:uid="{A284E8FC-47A7-4BBD-9102-363822214A5A}"/>
    <cellStyle name="Normal 5 5 4 3" xfId="5249" xr:uid="{00000000-0005-0000-0000-00008C1B0000}"/>
    <cellStyle name="Normal 5 5 4 3 2" xfId="13744" xr:uid="{C296C63D-278E-42EE-BF41-B3E810558F57}"/>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2 2 2" xfId="16302" xr:uid="{AC4F41C7-D0AF-486A-B550-BC4E411ECC56}"/>
    <cellStyle name="Normal 5 5 5 2 3" xfId="12089" xr:uid="{06972A69-0848-4EBF-8C37-A77708466576}"/>
    <cellStyle name="Normal 5 5 5 3" xfId="5662" xr:uid="{00000000-0005-0000-0000-0000901B0000}"/>
    <cellStyle name="Normal 5 5 5 3 2" xfId="14157" xr:uid="{DEB26DCD-40C9-4F4C-9C2E-0167EAEA1E84}"/>
    <cellStyle name="Normal 5 5 5 4" xfId="9944" xr:uid="{9941D8F7-CDF3-440C-BBF4-3B79533D31B0}"/>
    <cellStyle name="Normal 5 5 6" xfId="1768" xr:uid="{00000000-0005-0000-0000-0000911B0000}"/>
    <cellStyle name="Normal 5 5 6 2" xfId="3998" xr:uid="{00000000-0005-0000-0000-0000921B0000}"/>
    <cellStyle name="Normal 5 5 6 2 2" xfId="8220" xr:uid="{00000000-0005-0000-0000-0000931B0000}"/>
    <cellStyle name="Normal 5 5 6 2 2 2" xfId="16715" xr:uid="{C2172E6A-BBAD-4A5F-A90B-E86316E3D9AD}"/>
    <cellStyle name="Normal 5 5 6 2 3" xfId="12502" xr:uid="{4B1998E4-E581-481A-84F5-E27F27A991C6}"/>
    <cellStyle name="Normal 5 5 6 3" xfId="6075" xr:uid="{00000000-0005-0000-0000-0000941B0000}"/>
    <cellStyle name="Normal 5 5 6 3 2" xfId="14570" xr:uid="{F954FF9A-2ACD-4A52-BDAB-7515D358BD03}"/>
    <cellStyle name="Normal 5 5 6 4" xfId="10357" xr:uid="{D29F67F4-51CD-472B-B354-43C8EB83BDC3}"/>
    <cellStyle name="Normal 5 5 7" xfId="2182" xr:uid="{00000000-0005-0000-0000-0000951B0000}"/>
    <cellStyle name="Normal 5 5 7 2" xfId="4411" xr:uid="{00000000-0005-0000-0000-0000961B0000}"/>
    <cellStyle name="Normal 5 5 7 2 2" xfId="8633" xr:uid="{00000000-0005-0000-0000-0000971B0000}"/>
    <cellStyle name="Normal 5 5 7 2 2 2" xfId="17128" xr:uid="{278453EC-D374-4D03-BFC0-C4AD4B8E5FB7}"/>
    <cellStyle name="Normal 5 5 7 2 3" xfId="12915" xr:uid="{7E7EBE1A-F7EC-4945-9905-854120680BE2}"/>
    <cellStyle name="Normal 5 5 7 3" xfId="6488" xr:uid="{00000000-0005-0000-0000-0000981B0000}"/>
    <cellStyle name="Normal 5 5 7 3 2" xfId="14983" xr:uid="{8076DA2C-91DB-49EC-B1C3-30129C398261}"/>
    <cellStyle name="Normal 5 5 7 4" xfId="10770" xr:uid="{6152685E-9054-48D5-9096-A1B4735DCE91}"/>
    <cellStyle name="Normal 5 5 8" xfId="2618" xr:uid="{00000000-0005-0000-0000-0000991B0000}"/>
    <cellStyle name="Normal 5 5 8 2" xfId="6901" xr:uid="{00000000-0005-0000-0000-00009A1B0000}"/>
    <cellStyle name="Normal 5 5 8 2 2" xfId="15396" xr:uid="{2DD61A49-717C-462D-B055-8292E032C9DC}"/>
    <cellStyle name="Normal 5 5 8 3" xfId="11183" xr:uid="{F4AB44C1-E131-4937-948E-86CA9F31E032}"/>
    <cellStyle name="Normal 5 5 9" xfId="4836" xr:uid="{00000000-0005-0000-0000-00009B1B0000}"/>
    <cellStyle name="Normal 5 5 9 2" xfId="13331" xr:uid="{BF79FCFF-C467-4737-9305-2DD049A9218A}"/>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94" xr:uid="{EC554649-5D64-4CBA-887C-89479C149E75}"/>
    <cellStyle name="Normal 5 6 2 2 2 3" xfId="11681" xr:uid="{AC6C236B-66EC-4DA9-8B38-3F673CA87688}"/>
    <cellStyle name="Normal 5 6 2 2 3" xfId="5254" xr:uid="{00000000-0005-0000-0000-0000A11B0000}"/>
    <cellStyle name="Normal 5 6 2 2 3 2" xfId="13749" xr:uid="{0EEEE4A0-B1FC-4310-8F32-FF1C46EEF3F8}"/>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2 2 2" xfId="16307" xr:uid="{8B8BDF36-D2BA-4671-866E-0B50B6B9095E}"/>
    <cellStyle name="Normal 5 6 2 3 2 3" xfId="12094" xr:uid="{74D8FF53-6458-490F-970E-4FFBF1B5894A}"/>
    <cellStyle name="Normal 5 6 2 3 3" xfId="5667" xr:uid="{00000000-0005-0000-0000-0000A51B0000}"/>
    <cellStyle name="Normal 5 6 2 3 3 2" xfId="14162" xr:uid="{9385B16F-01F7-48AA-B486-DDFC08517D6E}"/>
    <cellStyle name="Normal 5 6 2 3 4" xfId="9949" xr:uid="{5C803915-A490-4F5E-8992-C79A94B6A31E}"/>
    <cellStyle name="Normal 5 6 2 4" xfId="1773" xr:uid="{00000000-0005-0000-0000-0000A61B0000}"/>
    <cellStyle name="Normal 5 6 2 4 2" xfId="4003" xr:uid="{00000000-0005-0000-0000-0000A71B0000}"/>
    <cellStyle name="Normal 5 6 2 4 2 2" xfId="8225" xr:uid="{00000000-0005-0000-0000-0000A81B0000}"/>
    <cellStyle name="Normal 5 6 2 4 2 2 2" xfId="16720" xr:uid="{AF8C658A-C9D9-4D0C-A7A4-B50E4C8B7F8F}"/>
    <cellStyle name="Normal 5 6 2 4 2 3" xfId="12507" xr:uid="{4668BA4F-A8DA-4EE5-8941-6D5208C2BD40}"/>
    <cellStyle name="Normal 5 6 2 4 3" xfId="6080" xr:uid="{00000000-0005-0000-0000-0000A91B0000}"/>
    <cellStyle name="Normal 5 6 2 4 3 2" xfId="14575" xr:uid="{C5562DEA-2897-4628-B1D6-1DE05AE9FD72}"/>
    <cellStyle name="Normal 5 6 2 4 4" xfId="10362" xr:uid="{992513C8-952E-4BA5-BFE4-579DBBDE96B4}"/>
    <cellStyle name="Normal 5 6 2 5" xfId="2187" xr:uid="{00000000-0005-0000-0000-0000AA1B0000}"/>
    <cellStyle name="Normal 5 6 2 5 2" xfId="4416" xr:uid="{00000000-0005-0000-0000-0000AB1B0000}"/>
    <cellStyle name="Normal 5 6 2 5 2 2" xfId="8638" xr:uid="{00000000-0005-0000-0000-0000AC1B0000}"/>
    <cellStyle name="Normal 5 6 2 5 2 2 2" xfId="17133" xr:uid="{AD8A2507-E4DE-485F-9512-B5FE986A296E}"/>
    <cellStyle name="Normal 5 6 2 5 2 3" xfId="12920" xr:uid="{6404B306-278C-4DDF-827D-9469569F0D7E}"/>
    <cellStyle name="Normal 5 6 2 5 3" xfId="6493" xr:uid="{00000000-0005-0000-0000-0000AD1B0000}"/>
    <cellStyle name="Normal 5 6 2 5 3 2" xfId="14988" xr:uid="{6FF566B1-DCA6-4A57-888B-0EE8C4049840}"/>
    <cellStyle name="Normal 5 6 2 5 4" xfId="10775" xr:uid="{4AF924F5-0B9C-4718-B0EB-65E10EB143FA}"/>
    <cellStyle name="Normal 5 6 2 6" xfId="2623" xr:uid="{00000000-0005-0000-0000-0000AE1B0000}"/>
    <cellStyle name="Normal 5 6 2 6 2" xfId="6906" xr:uid="{00000000-0005-0000-0000-0000AF1B0000}"/>
    <cellStyle name="Normal 5 6 2 6 2 2" xfId="15401" xr:uid="{E1B9F44F-AC52-4A8A-9C08-F28508B84963}"/>
    <cellStyle name="Normal 5 6 2 6 3" xfId="11188" xr:uid="{6072CF2F-3DFD-4BC4-AACB-DEF9D11665E5}"/>
    <cellStyle name="Normal 5 6 2 7" xfId="4841" xr:uid="{00000000-0005-0000-0000-0000B01B0000}"/>
    <cellStyle name="Normal 5 6 2 7 2" xfId="13336" xr:uid="{C31BDFA3-D016-462E-850D-273B70CA039A}"/>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2 2 2" xfId="15893" xr:uid="{93562D24-E85D-46E5-BA38-13B1AB32AF51}"/>
    <cellStyle name="Normal 5 6 3 2 3" xfId="11680" xr:uid="{395610E8-D9F5-414F-9273-0CA13F2F9294}"/>
    <cellStyle name="Normal 5 6 3 3" xfId="5253" xr:uid="{00000000-0005-0000-0000-0000B41B0000}"/>
    <cellStyle name="Normal 5 6 3 3 2" xfId="13748" xr:uid="{06689FAA-17E7-46E5-B46E-F033516D4B76}"/>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2 2 2" xfId="16306" xr:uid="{42DF5783-6C84-4916-8193-F4A8A43F555A}"/>
    <cellStyle name="Normal 5 6 4 2 3" xfId="12093" xr:uid="{F032A9E0-8987-4EDE-9CAA-32FDBC680E9D}"/>
    <cellStyle name="Normal 5 6 4 3" xfId="5666" xr:uid="{00000000-0005-0000-0000-0000B81B0000}"/>
    <cellStyle name="Normal 5 6 4 3 2" xfId="14161" xr:uid="{490A6925-6BF1-4058-8D4F-9CB285A2A80C}"/>
    <cellStyle name="Normal 5 6 4 4" xfId="9948" xr:uid="{8C1204CF-E16B-48FF-92C7-1EC0F255E1EF}"/>
    <cellStyle name="Normal 5 6 5" xfId="1772" xr:uid="{00000000-0005-0000-0000-0000B91B0000}"/>
    <cellStyle name="Normal 5 6 5 2" xfId="4002" xr:uid="{00000000-0005-0000-0000-0000BA1B0000}"/>
    <cellStyle name="Normal 5 6 5 2 2" xfId="8224" xr:uid="{00000000-0005-0000-0000-0000BB1B0000}"/>
    <cellStyle name="Normal 5 6 5 2 2 2" xfId="16719" xr:uid="{A303C11E-211F-4F63-8743-E3FC800D58C7}"/>
    <cellStyle name="Normal 5 6 5 2 3" xfId="12506" xr:uid="{D2B7E0A8-F37A-42E0-B0AD-5208018119A5}"/>
    <cellStyle name="Normal 5 6 5 3" xfId="6079" xr:uid="{00000000-0005-0000-0000-0000BC1B0000}"/>
    <cellStyle name="Normal 5 6 5 3 2" xfId="14574" xr:uid="{8033A662-1CC9-4A1C-9430-5372BFF76D6B}"/>
    <cellStyle name="Normal 5 6 5 4" xfId="10361" xr:uid="{F776F7D4-6B08-44A7-B7B1-84A95BE1C734}"/>
    <cellStyle name="Normal 5 6 6" xfId="2186" xr:uid="{00000000-0005-0000-0000-0000BD1B0000}"/>
    <cellStyle name="Normal 5 6 6 2" xfId="4415" xr:uid="{00000000-0005-0000-0000-0000BE1B0000}"/>
    <cellStyle name="Normal 5 6 6 2 2" xfId="8637" xr:uid="{00000000-0005-0000-0000-0000BF1B0000}"/>
    <cellStyle name="Normal 5 6 6 2 2 2" xfId="17132" xr:uid="{25120B7A-6C85-4E28-ABCD-FADE4B947BFA}"/>
    <cellStyle name="Normal 5 6 6 2 3" xfId="12919" xr:uid="{C6DB4D17-7358-4AFF-8C7A-1A10F60F1936}"/>
    <cellStyle name="Normal 5 6 6 3" xfId="6492" xr:uid="{00000000-0005-0000-0000-0000C01B0000}"/>
    <cellStyle name="Normal 5 6 6 3 2" xfId="14987" xr:uid="{8406010F-34F6-492D-BCE2-6699433DEDF9}"/>
    <cellStyle name="Normal 5 6 6 4" xfId="10774" xr:uid="{0F0952B6-AA50-4993-96BE-F6E2DD21F551}"/>
    <cellStyle name="Normal 5 6 7" xfId="2622" xr:uid="{00000000-0005-0000-0000-0000C11B0000}"/>
    <cellStyle name="Normal 5 6 7 2" xfId="6905" xr:uid="{00000000-0005-0000-0000-0000C21B0000}"/>
    <cellStyle name="Normal 5 6 7 2 2" xfId="15400" xr:uid="{011CAC0C-5F0A-4183-9A98-51B45DB9C986}"/>
    <cellStyle name="Normal 5 6 7 3" xfId="11187" xr:uid="{F39E36A6-F5F3-48C8-AD05-AF01156A8D9D}"/>
    <cellStyle name="Normal 5 6 8" xfId="4840" xr:uid="{00000000-0005-0000-0000-0000C31B0000}"/>
    <cellStyle name="Normal 5 6 8 2" xfId="13335" xr:uid="{7B68FF3A-429C-4C76-A4F5-00BDF5FB9D88}"/>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95" xr:uid="{9000D2ED-B95E-4B14-9AF8-9BB12CF2A94E}"/>
    <cellStyle name="Normal 5 7 2 2 3" xfId="11682" xr:uid="{2B3CCB2E-60E7-42C9-A2E3-8653073B8521}"/>
    <cellStyle name="Normal 5 7 2 3" xfId="5255" xr:uid="{00000000-0005-0000-0000-0000C81B0000}"/>
    <cellStyle name="Normal 5 7 2 3 2" xfId="13750" xr:uid="{441031DA-AC1A-463F-9AB8-57B661A11B13}"/>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2 2 2" xfId="16308" xr:uid="{566385C7-DDC8-4307-BF97-2788F2BB3733}"/>
    <cellStyle name="Normal 5 7 3 2 3" xfId="12095" xr:uid="{5E244F96-92B8-4E14-851F-0228E29BE251}"/>
    <cellStyle name="Normal 5 7 3 3" xfId="5668" xr:uid="{00000000-0005-0000-0000-0000CC1B0000}"/>
    <cellStyle name="Normal 5 7 3 3 2" xfId="14163" xr:uid="{A9BD8BC3-B73F-4338-A4F9-25C0AA842A72}"/>
    <cellStyle name="Normal 5 7 3 4" xfId="9950" xr:uid="{ACE4D810-79A2-4208-8EA5-3CF5DD3778F9}"/>
    <cellStyle name="Normal 5 7 4" xfId="1774" xr:uid="{00000000-0005-0000-0000-0000CD1B0000}"/>
    <cellStyle name="Normal 5 7 4 2" xfId="4004" xr:uid="{00000000-0005-0000-0000-0000CE1B0000}"/>
    <cellStyle name="Normal 5 7 4 2 2" xfId="8226" xr:uid="{00000000-0005-0000-0000-0000CF1B0000}"/>
    <cellStyle name="Normal 5 7 4 2 2 2" xfId="16721" xr:uid="{8EDDE33D-5B55-4C7C-A529-65A00E5EB06F}"/>
    <cellStyle name="Normal 5 7 4 2 3" xfId="12508" xr:uid="{8086868A-6D70-4FED-B82A-02C690D96A33}"/>
    <cellStyle name="Normal 5 7 4 3" xfId="6081" xr:uid="{00000000-0005-0000-0000-0000D01B0000}"/>
    <cellStyle name="Normal 5 7 4 3 2" xfId="14576" xr:uid="{B18B151C-3D8D-465E-A8EA-19DA59B34892}"/>
    <cellStyle name="Normal 5 7 4 4" xfId="10363" xr:uid="{9D68C80D-C70E-46FD-BD6D-D9D992EF037F}"/>
    <cellStyle name="Normal 5 7 5" xfId="2188" xr:uid="{00000000-0005-0000-0000-0000D11B0000}"/>
    <cellStyle name="Normal 5 7 5 2" xfId="4417" xr:uid="{00000000-0005-0000-0000-0000D21B0000}"/>
    <cellStyle name="Normal 5 7 5 2 2" xfId="8639" xr:uid="{00000000-0005-0000-0000-0000D31B0000}"/>
    <cellStyle name="Normal 5 7 5 2 2 2" xfId="17134" xr:uid="{BC5AF91C-A95B-4CCA-96E0-3D9C884BE6B3}"/>
    <cellStyle name="Normal 5 7 5 2 3" xfId="12921" xr:uid="{B43437B8-6625-433A-89B7-3D8D87AF7C72}"/>
    <cellStyle name="Normal 5 7 5 3" xfId="6494" xr:uid="{00000000-0005-0000-0000-0000D41B0000}"/>
    <cellStyle name="Normal 5 7 5 3 2" xfId="14989" xr:uid="{E361990E-5EF5-4236-94E8-369B69B7AF7A}"/>
    <cellStyle name="Normal 5 7 5 4" xfId="10776" xr:uid="{A65085FB-BF1C-41B2-8EA5-9B48F6708737}"/>
    <cellStyle name="Normal 5 7 6" xfId="2624" xr:uid="{00000000-0005-0000-0000-0000D51B0000}"/>
    <cellStyle name="Normal 5 7 6 2" xfId="6907" xr:uid="{00000000-0005-0000-0000-0000D61B0000}"/>
    <cellStyle name="Normal 5 7 6 2 2" xfId="15402" xr:uid="{DAF18AA8-01FE-4EC6-BD3E-9AE1A0C37333}"/>
    <cellStyle name="Normal 5 7 6 3" xfId="11189" xr:uid="{E5A804CC-8C00-4C8A-984F-FC1A4F2C8859}"/>
    <cellStyle name="Normal 5 7 7" xfId="4842" xr:uid="{00000000-0005-0000-0000-0000D71B0000}"/>
    <cellStyle name="Normal 5 7 7 2" xfId="13337" xr:uid="{29B0259C-8339-45AA-8FAD-570E8933D108}"/>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2 2 2" xfId="15832" xr:uid="{29C06726-A0FB-468A-B721-7C0732CB8318}"/>
    <cellStyle name="Normal 5 8 2 3" xfId="11619" xr:uid="{C47A2075-9AEC-4493-85A0-FEDDEEC74AB5}"/>
    <cellStyle name="Normal 5 8 3" xfId="5192" xr:uid="{00000000-0005-0000-0000-0000DB1B0000}"/>
    <cellStyle name="Normal 5 8 3 2" xfId="13687" xr:uid="{D1A6BFF7-CE42-4B00-8F87-772D9FB3483F}"/>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2 2 2" xfId="16245" xr:uid="{B03616BB-332A-4205-B4DC-63D60BBE7595}"/>
    <cellStyle name="Normal 5 9 2 3" xfId="12032" xr:uid="{9557F001-9E60-4F10-9F62-EC7AE9A10D46}"/>
    <cellStyle name="Normal 5 9 3" xfId="5605" xr:uid="{00000000-0005-0000-0000-0000DF1B0000}"/>
    <cellStyle name="Normal 5 9 3 2" xfId="14100" xr:uid="{ACDD55B7-FF08-40FB-8CAA-385D3725AB8F}"/>
    <cellStyle name="Normal 5 9 4" xfId="9887" xr:uid="{BC2AF421-FBFC-4941-84AF-8533552802D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135" xr:uid="{E66F1F06-57F3-4FA2-BE73-A302028E19A8}"/>
    <cellStyle name="Normal 8 10 2 3" xfId="12922" xr:uid="{4AB22FCF-E349-45E0-864A-11D120ADDF1A}"/>
    <cellStyle name="Normal 8 10 3" xfId="6495" xr:uid="{00000000-0005-0000-0000-0000EB1B0000}"/>
    <cellStyle name="Normal 8 10 3 2" xfId="14990" xr:uid="{DEF3054B-54D1-4B67-992D-5D85E575699C}"/>
    <cellStyle name="Normal 8 10 4" xfId="10777" xr:uid="{C06C0D73-FD9C-443D-93BD-594B4247E811}"/>
    <cellStyle name="Normal 8 11" xfId="2625" xr:uid="{00000000-0005-0000-0000-0000EC1B0000}"/>
    <cellStyle name="Normal 8 11 2" xfId="6908" xr:uid="{00000000-0005-0000-0000-0000ED1B0000}"/>
    <cellStyle name="Normal 8 11 2 2" xfId="15403" xr:uid="{D9CA281F-9D80-4094-B7B2-64667077E25F}"/>
    <cellStyle name="Normal 8 11 3" xfId="11190" xr:uid="{26F89C84-2606-4125-BEB6-D7B67AC7ACFC}"/>
    <cellStyle name="Normal 8 12" xfId="4843" xr:uid="{00000000-0005-0000-0000-0000EE1B0000}"/>
    <cellStyle name="Normal 8 12 2" xfId="13338" xr:uid="{32CA6982-C3FB-4286-A089-AB57A0DF4185}"/>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0 2 2" xfId="15404" xr:uid="{0F98E5E1-1EC2-4AC5-9511-303E703170F5}"/>
    <cellStyle name="Normal 8 2 10 3" xfId="11191" xr:uid="{0B34E30F-91E5-4410-ABC4-D6AD9AD7970E}"/>
    <cellStyle name="Normal 8 2 11" xfId="4844" xr:uid="{00000000-0005-0000-0000-0000F21B0000}"/>
    <cellStyle name="Normal 8 2 11 2" xfId="13339" xr:uid="{24514042-8E12-42C8-9FBF-38A0B5321606}"/>
    <cellStyle name="Normal 8 2 12" xfId="8751" xr:uid="{476D0553-3387-4D9F-B05B-56EC7A36F7A1}"/>
    <cellStyle name="Normal 8 2 2" xfId="480" xr:uid="{00000000-0005-0000-0000-0000F31B0000}"/>
    <cellStyle name="Normal 8 2 2 10" xfId="4845" xr:uid="{00000000-0005-0000-0000-0000F41B0000}"/>
    <cellStyle name="Normal 8 2 2 10 2" xfId="13340" xr:uid="{9D829BD8-C15A-4887-BAF9-E32F037DE2D9}"/>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901" xr:uid="{2FCC691E-CB3F-4EA7-9ABB-0A781BA5ABEE}"/>
    <cellStyle name="Normal 8 2 2 2 2 2 2 2 3" xfId="11688" xr:uid="{67AC5F89-0323-4C8F-8CE4-2E1A63D05750}"/>
    <cellStyle name="Normal 8 2 2 2 2 2 2 3" xfId="5261" xr:uid="{00000000-0005-0000-0000-0000FB1B0000}"/>
    <cellStyle name="Normal 8 2 2 2 2 2 2 3 2" xfId="13756" xr:uid="{1CDB6134-4CB0-4E75-8603-F47A158E5015}"/>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314" xr:uid="{212BF0F4-FC6E-4BD5-8590-513A87D2E9F4}"/>
    <cellStyle name="Normal 8 2 2 2 2 2 3 2 3" xfId="12101" xr:uid="{32421CD1-8A5B-44C2-8AC2-C2A13B512718}"/>
    <cellStyle name="Normal 8 2 2 2 2 2 3 3" xfId="5674" xr:uid="{00000000-0005-0000-0000-0000FF1B0000}"/>
    <cellStyle name="Normal 8 2 2 2 2 2 3 3 2" xfId="14169" xr:uid="{2037A699-4266-4BF9-83B2-E80CA0CCD92B}"/>
    <cellStyle name="Normal 8 2 2 2 2 2 3 4" xfId="9956" xr:uid="{457C9E48-D6C8-4120-B3DB-AD62C7151166}"/>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727" xr:uid="{0055CB7A-701E-49C9-BF29-24AE771D0BC8}"/>
    <cellStyle name="Normal 8 2 2 2 2 2 4 2 3" xfId="12514" xr:uid="{F0DCC809-E745-4AED-A017-3BCDF3D0BA5D}"/>
    <cellStyle name="Normal 8 2 2 2 2 2 4 3" xfId="6087" xr:uid="{00000000-0005-0000-0000-0000031C0000}"/>
    <cellStyle name="Normal 8 2 2 2 2 2 4 3 2" xfId="14582" xr:uid="{B40F758B-4095-4AC2-BF96-48D826A4E20E}"/>
    <cellStyle name="Normal 8 2 2 2 2 2 4 4" xfId="10369" xr:uid="{D52D7617-4EB0-48EB-9DF6-B8D4353806F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140" xr:uid="{6B98CBE6-7886-4A30-9A6C-3CCF4D2071C3}"/>
    <cellStyle name="Normal 8 2 2 2 2 2 5 2 3" xfId="12927" xr:uid="{F80963DF-E4CF-42ED-A6B7-BCB1663304E6}"/>
    <cellStyle name="Normal 8 2 2 2 2 2 5 3" xfId="6500" xr:uid="{00000000-0005-0000-0000-0000071C0000}"/>
    <cellStyle name="Normal 8 2 2 2 2 2 5 3 2" xfId="14995" xr:uid="{87BC037E-0CAC-477F-B886-54B287217856}"/>
    <cellStyle name="Normal 8 2 2 2 2 2 5 4" xfId="10782" xr:uid="{3126FD67-6DC4-4853-9E09-CFC2FF94F094}"/>
    <cellStyle name="Normal 8 2 2 2 2 2 6" xfId="2630" xr:uid="{00000000-0005-0000-0000-0000081C0000}"/>
    <cellStyle name="Normal 8 2 2 2 2 2 6 2" xfId="6913" xr:uid="{00000000-0005-0000-0000-0000091C0000}"/>
    <cellStyle name="Normal 8 2 2 2 2 2 6 2 2" xfId="15408" xr:uid="{ABF57D5D-C5B9-4ED1-9EB2-03B54A19311F}"/>
    <cellStyle name="Normal 8 2 2 2 2 2 6 3" xfId="11195" xr:uid="{E5D26D67-CEDA-4A96-8F04-CC7FAB29EF2B}"/>
    <cellStyle name="Normal 8 2 2 2 2 2 7" xfId="4848" xr:uid="{00000000-0005-0000-0000-00000A1C0000}"/>
    <cellStyle name="Normal 8 2 2 2 2 2 7 2" xfId="13343" xr:uid="{7DCD3168-7EB5-4956-9E1B-C324371AD8E4}"/>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900" xr:uid="{562C7215-0545-42AD-8247-F3E74C7A5724}"/>
    <cellStyle name="Normal 8 2 2 2 2 3 2 3" xfId="11687" xr:uid="{74B831AC-B795-458F-994A-3F7BE96E7B72}"/>
    <cellStyle name="Normal 8 2 2 2 2 3 3" xfId="5260" xr:uid="{00000000-0005-0000-0000-00000E1C0000}"/>
    <cellStyle name="Normal 8 2 2 2 2 3 3 2" xfId="13755" xr:uid="{27ACFF37-6A9C-4584-986C-A37E906C83ED}"/>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313" xr:uid="{181E5E9E-64D4-42BE-9919-CBB1849E740C}"/>
    <cellStyle name="Normal 8 2 2 2 2 4 2 3" xfId="12100" xr:uid="{D5A4D8CB-0173-4FDB-8457-DCB217CD4C4D}"/>
    <cellStyle name="Normal 8 2 2 2 2 4 3" xfId="5673" xr:uid="{00000000-0005-0000-0000-0000121C0000}"/>
    <cellStyle name="Normal 8 2 2 2 2 4 3 2" xfId="14168" xr:uid="{932912AB-5D49-4908-9EEB-5C5F3A46ACB7}"/>
    <cellStyle name="Normal 8 2 2 2 2 4 4" xfId="9955" xr:uid="{0CA933BD-E3FC-4BEA-BC83-41889B196AE8}"/>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726" xr:uid="{EE6A15C3-23C9-4E80-8E5C-ED342206C60B}"/>
    <cellStyle name="Normal 8 2 2 2 2 5 2 3" xfId="12513" xr:uid="{E6E33009-46CD-4EF5-87DC-017C8FCE4E44}"/>
    <cellStyle name="Normal 8 2 2 2 2 5 3" xfId="6086" xr:uid="{00000000-0005-0000-0000-0000161C0000}"/>
    <cellStyle name="Normal 8 2 2 2 2 5 3 2" xfId="14581" xr:uid="{9E838E77-D224-43FB-ADCC-663D3A325BB6}"/>
    <cellStyle name="Normal 8 2 2 2 2 5 4" xfId="10368" xr:uid="{DC6999B4-282F-4CC8-9B23-B433CA6D2386}"/>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139" xr:uid="{0BF6B391-36C2-40AB-B708-6F3E92315D5C}"/>
    <cellStyle name="Normal 8 2 2 2 2 6 2 3" xfId="12926" xr:uid="{95804115-8B59-471F-83A1-185E5BEBA8FD}"/>
    <cellStyle name="Normal 8 2 2 2 2 6 3" xfId="6499" xr:uid="{00000000-0005-0000-0000-00001A1C0000}"/>
    <cellStyle name="Normal 8 2 2 2 2 6 3 2" xfId="14994" xr:uid="{8E727644-88E7-44BF-A9CB-D75E79689360}"/>
    <cellStyle name="Normal 8 2 2 2 2 6 4" xfId="10781" xr:uid="{AE6B20A4-DCBB-4E6C-A6BA-C91B01FE8E03}"/>
    <cellStyle name="Normal 8 2 2 2 2 7" xfId="2629" xr:uid="{00000000-0005-0000-0000-00001B1C0000}"/>
    <cellStyle name="Normal 8 2 2 2 2 7 2" xfId="6912" xr:uid="{00000000-0005-0000-0000-00001C1C0000}"/>
    <cellStyle name="Normal 8 2 2 2 2 7 2 2" xfId="15407" xr:uid="{E2F1E9AE-F391-4E8E-8C9D-420B6C6C76FC}"/>
    <cellStyle name="Normal 8 2 2 2 2 7 3" xfId="11194" xr:uid="{1B1C7557-EB4C-4DF8-BEA0-BCF08C9BE89E}"/>
    <cellStyle name="Normal 8 2 2 2 2 8" xfId="4847" xr:uid="{00000000-0005-0000-0000-00001D1C0000}"/>
    <cellStyle name="Normal 8 2 2 2 2 8 2" xfId="13342" xr:uid="{8D17208D-A5EC-44F9-B8E4-A605FB9A4022}"/>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902" xr:uid="{B40C8D4B-2112-4E70-A1D0-88BEAFA5C040}"/>
    <cellStyle name="Normal 8 2 2 2 3 2 2 3" xfId="11689" xr:uid="{C06BA3D7-10BD-46BF-B4B7-1450E373BAED}"/>
    <cellStyle name="Normal 8 2 2 2 3 2 3" xfId="5262" xr:uid="{00000000-0005-0000-0000-0000221C0000}"/>
    <cellStyle name="Normal 8 2 2 2 3 2 3 2" xfId="13757" xr:uid="{88E3458F-A513-45A1-B5B0-D7C8E999C7AC}"/>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315" xr:uid="{5C7A9C85-8DE4-45FB-AABA-A7F6C508F141}"/>
    <cellStyle name="Normal 8 2 2 2 3 3 2 3" xfId="12102" xr:uid="{D425F845-6970-49A5-B7BC-86A03A4ADAC1}"/>
    <cellStyle name="Normal 8 2 2 2 3 3 3" xfId="5675" xr:uid="{00000000-0005-0000-0000-0000261C0000}"/>
    <cellStyle name="Normal 8 2 2 2 3 3 3 2" xfId="14170" xr:uid="{C35DD90E-F3BA-4ADA-A6A7-1E03D0A5F8CF}"/>
    <cellStyle name="Normal 8 2 2 2 3 3 4" xfId="9957" xr:uid="{EA6BCF0C-1F50-45C7-8EA7-C57FCE3EAD94}"/>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728" xr:uid="{1EDA9A32-BB32-4DB4-9EA5-3495E65F87E2}"/>
    <cellStyle name="Normal 8 2 2 2 3 4 2 3" xfId="12515" xr:uid="{8CF74D65-5163-4E42-927F-40835543B5EF}"/>
    <cellStyle name="Normal 8 2 2 2 3 4 3" xfId="6088" xr:uid="{00000000-0005-0000-0000-00002A1C0000}"/>
    <cellStyle name="Normal 8 2 2 2 3 4 3 2" xfId="14583" xr:uid="{1E4E2D96-4668-4958-A7D0-4EEF8CB3850D}"/>
    <cellStyle name="Normal 8 2 2 2 3 4 4" xfId="10370" xr:uid="{5A9DA78B-05CB-40EA-9D91-6B58CB1DAEBB}"/>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141" xr:uid="{B4F23B77-E32B-44B9-B335-F5CD7FF008A5}"/>
    <cellStyle name="Normal 8 2 2 2 3 5 2 3" xfId="12928" xr:uid="{99F90407-39E3-409F-8665-DD51B40A70F1}"/>
    <cellStyle name="Normal 8 2 2 2 3 5 3" xfId="6501" xr:uid="{00000000-0005-0000-0000-00002E1C0000}"/>
    <cellStyle name="Normal 8 2 2 2 3 5 3 2" xfId="14996" xr:uid="{7141DA6B-7E40-4D92-B3C6-1D71BE1AE6B1}"/>
    <cellStyle name="Normal 8 2 2 2 3 5 4" xfId="10783" xr:uid="{50B22F55-78F1-48FA-8BF7-CA2B374E354A}"/>
    <cellStyle name="Normal 8 2 2 2 3 6" xfId="2631" xr:uid="{00000000-0005-0000-0000-00002F1C0000}"/>
    <cellStyle name="Normal 8 2 2 2 3 6 2" xfId="6914" xr:uid="{00000000-0005-0000-0000-0000301C0000}"/>
    <cellStyle name="Normal 8 2 2 2 3 6 2 2" xfId="15409" xr:uid="{B41C06BF-D0EA-4104-B80C-5C78AF5266B1}"/>
    <cellStyle name="Normal 8 2 2 2 3 6 3" xfId="11196" xr:uid="{97E0C981-4F0B-44F6-A162-9369A70E88F0}"/>
    <cellStyle name="Normal 8 2 2 2 3 7" xfId="4849" xr:uid="{00000000-0005-0000-0000-0000311C0000}"/>
    <cellStyle name="Normal 8 2 2 2 3 7 2" xfId="13344" xr:uid="{2499AA88-75F7-464F-A905-13FB1FCF6043}"/>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99" xr:uid="{C2346FD3-7078-4347-813B-7B067D16915A}"/>
    <cellStyle name="Normal 8 2 2 2 4 2 3" xfId="11686" xr:uid="{3D6A6937-5D69-46C0-87A1-2D96D1DE0B7D}"/>
    <cellStyle name="Normal 8 2 2 2 4 3" xfId="5259" xr:uid="{00000000-0005-0000-0000-0000351C0000}"/>
    <cellStyle name="Normal 8 2 2 2 4 3 2" xfId="13754" xr:uid="{58509FA6-941D-44D0-AA95-005EAB8E30BB}"/>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312" xr:uid="{3311E60A-8CF1-4541-BDD8-93EDCE939092}"/>
    <cellStyle name="Normal 8 2 2 2 5 2 3" xfId="12099" xr:uid="{574E6001-490A-4A5D-9717-72FEA85A603F}"/>
    <cellStyle name="Normal 8 2 2 2 5 3" xfId="5672" xr:uid="{00000000-0005-0000-0000-0000391C0000}"/>
    <cellStyle name="Normal 8 2 2 2 5 3 2" xfId="14167" xr:uid="{B14F7216-A7A2-49FA-96A4-05DC32707244}"/>
    <cellStyle name="Normal 8 2 2 2 5 4" xfId="9954" xr:uid="{6B7F72B1-CEC2-4401-9FCA-616A986CD561}"/>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725" xr:uid="{356A133B-4B46-4E18-8C36-7B93B606C901}"/>
    <cellStyle name="Normal 8 2 2 2 6 2 3" xfId="12512" xr:uid="{79AE3F25-7275-4A2B-9BDD-BA114E5ACE44}"/>
    <cellStyle name="Normal 8 2 2 2 6 3" xfId="6085" xr:uid="{00000000-0005-0000-0000-00003D1C0000}"/>
    <cellStyle name="Normal 8 2 2 2 6 3 2" xfId="14580" xr:uid="{5AB772C0-6C57-42D5-BF26-FC94662115CE}"/>
    <cellStyle name="Normal 8 2 2 2 6 4" xfId="10367" xr:uid="{C37AD894-0CA5-4B60-9A60-86ADB908EE0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138" xr:uid="{6F00F6E5-A6DD-4950-BE1D-54E28CFDF6EE}"/>
    <cellStyle name="Normal 8 2 2 2 7 2 3" xfId="12925" xr:uid="{B9236F7C-1544-43CF-A352-FAF6201EC5D8}"/>
    <cellStyle name="Normal 8 2 2 2 7 3" xfId="6498" xr:uid="{00000000-0005-0000-0000-0000411C0000}"/>
    <cellStyle name="Normal 8 2 2 2 7 3 2" xfId="14993" xr:uid="{4E782087-B5CC-4892-9AB1-F80FC25B2708}"/>
    <cellStyle name="Normal 8 2 2 2 7 4" xfId="10780" xr:uid="{9A2A96A2-D5D4-439B-BE67-1000D4779654}"/>
    <cellStyle name="Normal 8 2 2 2 8" xfId="2628" xr:uid="{00000000-0005-0000-0000-0000421C0000}"/>
    <cellStyle name="Normal 8 2 2 2 8 2" xfId="6911" xr:uid="{00000000-0005-0000-0000-0000431C0000}"/>
    <cellStyle name="Normal 8 2 2 2 8 2 2" xfId="15406" xr:uid="{93F5C7E3-D4FD-4150-8F0C-64E156627467}"/>
    <cellStyle name="Normal 8 2 2 2 8 3" xfId="11193" xr:uid="{18BD552D-2D84-46C6-9B6E-B44452913995}"/>
    <cellStyle name="Normal 8 2 2 2 9" xfId="4846" xr:uid="{00000000-0005-0000-0000-0000441C0000}"/>
    <cellStyle name="Normal 8 2 2 2 9 2" xfId="13341" xr:uid="{C558712E-7C7B-43D1-9377-4E93523075A1}"/>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904" xr:uid="{BF6F2806-EEAE-442C-BF43-11F5BBD697F9}"/>
    <cellStyle name="Normal 8 2 2 3 2 2 2 3" xfId="11691" xr:uid="{8A04A37C-AED4-48BD-99E3-83297368B286}"/>
    <cellStyle name="Normal 8 2 2 3 2 2 3" xfId="5264" xr:uid="{00000000-0005-0000-0000-00004A1C0000}"/>
    <cellStyle name="Normal 8 2 2 3 2 2 3 2" xfId="13759" xr:uid="{30D9FF5C-7CC0-4F04-B972-5056AF63CC99}"/>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317" xr:uid="{70C629B4-4967-4807-89C2-275C94281D87}"/>
    <cellStyle name="Normal 8 2 2 3 2 3 2 3" xfId="12104" xr:uid="{DB42C792-8ABE-431B-A6CD-59371C3984C2}"/>
    <cellStyle name="Normal 8 2 2 3 2 3 3" xfId="5677" xr:uid="{00000000-0005-0000-0000-00004E1C0000}"/>
    <cellStyle name="Normal 8 2 2 3 2 3 3 2" xfId="14172" xr:uid="{439B4975-6A53-4912-8E97-BC6AF6E83099}"/>
    <cellStyle name="Normal 8 2 2 3 2 3 4" xfId="9959" xr:uid="{CF8FCC08-67AE-47EF-9955-EBA5B18F49FD}"/>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730" xr:uid="{BCE76DFA-D755-4C93-A05C-631460F1FF48}"/>
    <cellStyle name="Normal 8 2 2 3 2 4 2 3" xfId="12517" xr:uid="{07672A37-835C-4F2B-85EE-E813D406DC44}"/>
    <cellStyle name="Normal 8 2 2 3 2 4 3" xfId="6090" xr:uid="{00000000-0005-0000-0000-0000521C0000}"/>
    <cellStyle name="Normal 8 2 2 3 2 4 3 2" xfId="14585" xr:uid="{341F980B-4965-4C90-94DA-485BEED9AB8C}"/>
    <cellStyle name="Normal 8 2 2 3 2 4 4" xfId="10372" xr:uid="{8FEEC245-45BA-4C0A-A501-C64D613AF9F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143" xr:uid="{1EAD00B8-D5C7-4ABC-A524-FA41138EA343}"/>
    <cellStyle name="Normal 8 2 2 3 2 5 2 3" xfId="12930" xr:uid="{503C2EFB-C16B-4174-AAFE-A02F04A0E392}"/>
    <cellStyle name="Normal 8 2 2 3 2 5 3" xfId="6503" xr:uid="{00000000-0005-0000-0000-0000561C0000}"/>
    <cellStyle name="Normal 8 2 2 3 2 5 3 2" xfId="14998" xr:uid="{D62A1475-8715-4E34-A25A-1299B7D614BA}"/>
    <cellStyle name="Normal 8 2 2 3 2 5 4" xfId="10785" xr:uid="{67BFC9DF-FE7F-4C27-89FD-BF80E1E43F41}"/>
    <cellStyle name="Normal 8 2 2 3 2 6" xfId="2633" xr:uid="{00000000-0005-0000-0000-0000571C0000}"/>
    <cellStyle name="Normal 8 2 2 3 2 6 2" xfId="6916" xr:uid="{00000000-0005-0000-0000-0000581C0000}"/>
    <cellStyle name="Normal 8 2 2 3 2 6 2 2" xfId="15411" xr:uid="{50971F0A-54F2-4B6D-9A53-F75C03354393}"/>
    <cellStyle name="Normal 8 2 2 3 2 6 3" xfId="11198" xr:uid="{F92B4366-4BDF-4089-AAC0-3FAC90B6EF71}"/>
    <cellStyle name="Normal 8 2 2 3 2 7" xfId="4851" xr:uid="{00000000-0005-0000-0000-0000591C0000}"/>
    <cellStyle name="Normal 8 2 2 3 2 7 2" xfId="13346" xr:uid="{B50A8D19-156F-4A53-BB47-6D2C1945668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903" xr:uid="{D68A577E-781E-42C4-A198-9330D84334D9}"/>
    <cellStyle name="Normal 8 2 2 3 3 2 3" xfId="11690" xr:uid="{2ECE3B9E-5058-4571-AC4F-500B153BCFE0}"/>
    <cellStyle name="Normal 8 2 2 3 3 3" xfId="5263" xr:uid="{00000000-0005-0000-0000-00005D1C0000}"/>
    <cellStyle name="Normal 8 2 2 3 3 3 2" xfId="13758" xr:uid="{2EB071C9-744D-4708-A540-9BC9FE3E1A3D}"/>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316" xr:uid="{93C8721B-69CF-4458-AA53-E95B2DE9C771}"/>
    <cellStyle name="Normal 8 2 2 3 4 2 3" xfId="12103" xr:uid="{FDDF6506-A913-4D72-B9A9-ACF730F43D1F}"/>
    <cellStyle name="Normal 8 2 2 3 4 3" xfId="5676" xr:uid="{00000000-0005-0000-0000-0000611C0000}"/>
    <cellStyle name="Normal 8 2 2 3 4 3 2" xfId="14171" xr:uid="{BBBF2165-AC8C-4C88-A0A8-15B8786EB216}"/>
    <cellStyle name="Normal 8 2 2 3 4 4" xfId="9958" xr:uid="{3FDCD988-552A-4797-98DE-F525F6DCD607}"/>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729" xr:uid="{4AACB4C6-89A5-4BBD-B986-017A59B8A494}"/>
    <cellStyle name="Normal 8 2 2 3 5 2 3" xfId="12516" xr:uid="{D39C8BF3-09A1-4160-91B9-A5EC11B1E43A}"/>
    <cellStyle name="Normal 8 2 2 3 5 3" xfId="6089" xr:uid="{00000000-0005-0000-0000-0000651C0000}"/>
    <cellStyle name="Normal 8 2 2 3 5 3 2" xfId="14584" xr:uid="{7920ACAC-90A7-43E2-A7DE-8F20BBF1D284}"/>
    <cellStyle name="Normal 8 2 2 3 5 4" xfId="10371" xr:uid="{5B8B419A-43C3-4712-A7C7-7A0AA5A87790}"/>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142" xr:uid="{A8280113-06C4-4423-A3F6-5472CC7B3D17}"/>
    <cellStyle name="Normal 8 2 2 3 6 2 3" xfId="12929" xr:uid="{7B31EC17-F114-493F-9698-CCFDC0B0A244}"/>
    <cellStyle name="Normal 8 2 2 3 6 3" xfId="6502" xr:uid="{00000000-0005-0000-0000-0000691C0000}"/>
    <cellStyle name="Normal 8 2 2 3 6 3 2" xfId="14997" xr:uid="{86AF5E33-5720-44A0-84FB-7A61E3551C52}"/>
    <cellStyle name="Normal 8 2 2 3 6 4" xfId="10784" xr:uid="{4F0C3493-9154-479C-AE86-B4158C668E40}"/>
    <cellStyle name="Normal 8 2 2 3 7" xfId="2632" xr:uid="{00000000-0005-0000-0000-00006A1C0000}"/>
    <cellStyle name="Normal 8 2 2 3 7 2" xfId="6915" xr:uid="{00000000-0005-0000-0000-00006B1C0000}"/>
    <cellStyle name="Normal 8 2 2 3 7 2 2" xfId="15410" xr:uid="{BF98AE58-2D15-4CF7-BBC0-D92BB0A3995A}"/>
    <cellStyle name="Normal 8 2 2 3 7 3" xfId="11197" xr:uid="{66EB063F-E4CA-4C1F-9647-38FA48AE9E51}"/>
    <cellStyle name="Normal 8 2 2 3 8" xfId="4850" xr:uid="{00000000-0005-0000-0000-00006C1C0000}"/>
    <cellStyle name="Normal 8 2 2 3 8 2" xfId="13345" xr:uid="{F8512202-88AF-4CDA-9A15-08963C15EF65}"/>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905" xr:uid="{21958FD8-CA91-4CEA-8108-FFE09CFC7DEE}"/>
    <cellStyle name="Normal 8 2 2 4 2 2 3" xfId="11692" xr:uid="{6ABD498D-5175-40CA-B88B-E0E8EE469AC7}"/>
    <cellStyle name="Normal 8 2 2 4 2 3" xfId="5265" xr:uid="{00000000-0005-0000-0000-0000711C0000}"/>
    <cellStyle name="Normal 8 2 2 4 2 3 2" xfId="13760" xr:uid="{84CCB401-DC3E-4A4A-A186-589248FB8C51}"/>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318" xr:uid="{25BABCC0-E558-48B8-9A18-B3A61DD75E5D}"/>
    <cellStyle name="Normal 8 2 2 4 3 2 3" xfId="12105" xr:uid="{D60A9CA5-4923-4BAE-9E3A-17B0BED6CB80}"/>
    <cellStyle name="Normal 8 2 2 4 3 3" xfId="5678" xr:uid="{00000000-0005-0000-0000-0000751C0000}"/>
    <cellStyle name="Normal 8 2 2 4 3 3 2" xfId="14173" xr:uid="{9E0F1321-E05F-42D1-8B88-53E0021CE574}"/>
    <cellStyle name="Normal 8 2 2 4 3 4" xfId="9960" xr:uid="{8FF92EB4-2574-47D9-A1A9-52EE732DF4CC}"/>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731" xr:uid="{E4E66811-CA1C-49C1-8190-C5A7B25858CF}"/>
    <cellStyle name="Normal 8 2 2 4 4 2 3" xfId="12518" xr:uid="{B244F6F0-D865-41DE-8961-609B280683B9}"/>
    <cellStyle name="Normal 8 2 2 4 4 3" xfId="6091" xr:uid="{00000000-0005-0000-0000-0000791C0000}"/>
    <cellStyle name="Normal 8 2 2 4 4 3 2" xfId="14586" xr:uid="{C92B27B6-64F1-4BC3-84F3-6527966FC969}"/>
    <cellStyle name="Normal 8 2 2 4 4 4" xfId="10373" xr:uid="{7B24DB3C-D87E-4F1B-9E94-AEEB23343579}"/>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144" xr:uid="{CB332A61-E481-41D5-A8BE-1493FB14AFB2}"/>
    <cellStyle name="Normal 8 2 2 4 5 2 3" xfId="12931" xr:uid="{33F48B3A-0A20-4BFB-8ADF-85AF9ACE58D2}"/>
    <cellStyle name="Normal 8 2 2 4 5 3" xfId="6504" xr:uid="{00000000-0005-0000-0000-00007D1C0000}"/>
    <cellStyle name="Normal 8 2 2 4 5 3 2" xfId="14999" xr:uid="{AB635B08-9FF7-4D35-9057-7A500ABA3742}"/>
    <cellStyle name="Normal 8 2 2 4 5 4" xfId="10786" xr:uid="{F7AC310A-E195-4139-B0D3-B715AD99A41C}"/>
    <cellStyle name="Normal 8 2 2 4 6" xfId="2634" xr:uid="{00000000-0005-0000-0000-00007E1C0000}"/>
    <cellStyle name="Normal 8 2 2 4 6 2" xfId="6917" xr:uid="{00000000-0005-0000-0000-00007F1C0000}"/>
    <cellStyle name="Normal 8 2 2 4 6 2 2" xfId="15412" xr:uid="{24369895-565C-4318-93A2-3FA744E3D79B}"/>
    <cellStyle name="Normal 8 2 2 4 6 3" xfId="11199" xr:uid="{E2464046-66B5-4B2F-8B81-2608607FBD7E}"/>
    <cellStyle name="Normal 8 2 2 4 7" xfId="4852" xr:uid="{00000000-0005-0000-0000-0000801C0000}"/>
    <cellStyle name="Normal 8 2 2 4 7 2" xfId="13347" xr:uid="{38948D6F-C23C-4C65-964C-1D0F49F14335}"/>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2 2 2" xfId="15898" xr:uid="{6270A8AB-48A2-416A-A43D-81FA13ACBA86}"/>
    <cellStyle name="Normal 8 2 2 5 2 3" xfId="11685" xr:uid="{B57EADCE-7ECF-419E-91D3-00A78C5E2E9A}"/>
    <cellStyle name="Normal 8 2 2 5 3" xfId="5258" xr:uid="{00000000-0005-0000-0000-0000841C0000}"/>
    <cellStyle name="Normal 8 2 2 5 3 2" xfId="13753" xr:uid="{3C8A317B-AAFF-4911-A048-7F126E907534}"/>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2 2 2" xfId="16311" xr:uid="{C8119B79-020E-419B-B084-5EAC6A3A98DC}"/>
    <cellStyle name="Normal 8 2 2 6 2 3" xfId="12098" xr:uid="{BD6EBABB-9AD4-48DE-9D8B-711CF5C98ED2}"/>
    <cellStyle name="Normal 8 2 2 6 3" xfId="5671" xr:uid="{00000000-0005-0000-0000-0000881C0000}"/>
    <cellStyle name="Normal 8 2 2 6 3 2" xfId="14166" xr:uid="{1C88E338-0D37-4AF5-B953-1D93F3626411}"/>
    <cellStyle name="Normal 8 2 2 6 4" xfId="9953" xr:uid="{131C3CE8-3D6A-4C70-B8AB-FCAE11FE6225}"/>
    <cellStyle name="Normal 8 2 2 7" xfId="1777" xr:uid="{00000000-0005-0000-0000-0000891C0000}"/>
    <cellStyle name="Normal 8 2 2 7 2" xfId="4007" xr:uid="{00000000-0005-0000-0000-00008A1C0000}"/>
    <cellStyle name="Normal 8 2 2 7 2 2" xfId="8229" xr:uid="{00000000-0005-0000-0000-00008B1C0000}"/>
    <cellStyle name="Normal 8 2 2 7 2 2 2" xfId="16724" xr:uid="{59021717-5E12-4FD0-A5EE-C89F79816248}"/>
    <cellStyle name="Normal 8 2 2 7 2 3" xfId="12511" xr:uid="{DA2CCBA6-8331-49FE-A6AF-43FE0FAA54C7}"/>
    <cellStyle name="Normal 8 2 2 7 3" xfId="6084" xr:uid="{00000000-0005-0000-0000-00008C1C0000}"/>
    <cellStyle name="Normal 8 2 2 7 3 2" xfId="14579" xr:uid="{C048F5FD-A50D-44F6-A855-0C720D3B1A5A}"/>
    <cellStyle name="Normal 8 2 2 7 4" xfId="10366" xr:uid="{6897163B-7610-4188-9DB1-77EB7AA1F5B8}"/>
    <cellStyle name="Normal 8 2 2 8" xfId="2191" xr:uid="{00000000-0005-0000-0000-00008D1C0000}"/>
    <cellStyle name="Normal 8 2 2 8 2" xfId="4420" xr:uid="{00000000-0005-0000-0000-00008E1C0000}"/>
    <cellStyle name="Normal 8 2 2 8 2 2" xfId="8642" xr:uid="{00000000-0005-0000-0000-00008F1C0000}"/>
    <cellStyle name="Normal 8 2 2 8 2 2 2" xfId="17137" xr:uid="{B5F1833A-F039-46A8-BC51-C809866B1D0A}"/>
    <cellStyle name="Normal 8 2 2 8 2 3" xfId="12924" xr:uid="{0BA407D4-7687-4BC7-8AC3-B0B88DA237CF}"/>
    <cellStyle name="Normal 8 2 2 8 3" xfId="6497" xr:uid="{00000000-0005-0000-0000-0000901C0000}"/>
    <cellStyle name="Normal 8 2 2 8 3 2" xfId="14992" xr:uid="{D42059DF-6917-4BC0-BD22-4CBEFBB471DE}"/>
    <cellStyle name="Normal 8 2 2 8 4" xfId="10779" xr:uid="{87B289B1-15CE-4641-A5AD-926B46855EC3}"/>
    <cellStyle name="Normal 8 2 2 9" xfId="2627" xr:uid="{00000000-0005-0000-0000-0000911C0000}"/>
    <cellStyle name="Normal 8 2 2 9 2" xfId="6910" xr:uid="{00000000-0005-0000-0000-0000921C0000}"/>
    <cellStyle name="Normal 8 2 2 9 2 2" xfId="15405" xr:uid="{11454D02-25B2-4E80-B020-D036B1014014}"/>
    <cellStyle name="Normal 8 2 2 9 3" xfId="11192" xr:uid="{89E8D2C4-36C2-44AE-973F-86743095EC6E}"/>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908" xr:uid="{A36A6603-F204-46E0-B934-39B903D634B0}"/>
    <cellStyle name="Normal 8 2 3 2 2 2 2 3" xfId="11695" xr:uid="{4A12E623-317E-470A-A7B0-766417345499}"/>
    <cellStyle name="Normal 8 2 3 2 2 2 3" xfId="5268" xr:uid="{00000000-0005-0000-0000-0000991C0000}"/>
    <cellStyle name="Normal 8 2 3 2 2 2 3 2" xfId="13763" xr:uid="{00300FDE-99E1-4467-8E03-0E8F1496875D}"/>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321" xr:uid="{8A292005-3B26-419C-83D0-86E365F08B34}"/>
    <cellStyle name="Normal 8 2 3 2 2 3 2 3" xfId="12108" xr:uid="{E2460D4E-F2EB-423C-8E85-47A636C81F8F}"/>
    <cellStyle name="Normal 8 2 3 2 2 3 3" xfId="5681" xr:uid="{00000000-0005-0000-0000-00009D1C0000}"/>
    <cellStyle name="Normal 8 2 3 2 2 3 3 2" xfId="14176" xr:uid="{2FC71B42-9486-4C09-AC81-3765F33423B1}"/>
    <cellStyle name="Normal 8 2 3 2 2 3 4" xfId="9963" xr:uid="{40E2307F-B61A-413B-A59A-11917DA4EDC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734" xr:uid="{01338B09-4573-4E67-B428-FC6ED88D8419}"/>
    <cellStyle name="Normal 8 2 3 2 2 4 2 3" xfId="12521" xr:uid="{AB317A8A-4B39-4C93-AE71-363EA38AB159}"/>
    <cellStyle name="Normal 8 2 3 2 2 4 3" xfId="6094" xr:uid="{00000000-0005-0000-0000-0000A11C0000}"/>
    <cellStyle name="Normal 8 2 3 2 2 4 3 2" xfId="14589" xr:uid="{C975279D-A34F-49EA-A9C8-43F03E2FF1F9}"/>
    <cellStyle name="Normal 8 2 3 2 2 4 4" xfId="10376" xr:uid="{625C23DC-C55F-4807-8861-FE25F0494044}"/>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47" xr:uid="{0E22C4AB-E7E0-422C-9DB7-214E050475C6}"/>
    <cellStyle name="Normal 8 2 3 2 2 5 2 3" xfId="12934" xr:uid="{C2230FC5-7667-4B96-A370-FB7019B463F3}"/>
    <cellStyle name="Normal 8 2 3 2 2 5 3" xfId="6507" xr:uid="{00000000-0005-0000-0000-0000A51C0000}"/>
    <cellStyle name="Normal 8 2 3 2 2 5 3 2" xfId="15002" xr:uid="{8C2E6149-3FC8-47C6-A6FB-95BB39B9B59C}"/>
    <cellStyle name="Normal 8 2 3 2 2 5 4" xfId="10789" xr:uid="{3C59CB7F-2D94-4353-B219-657BA3ED582D}"/>
    <cellStyle name="Normal 8 2 3 2 2 6" xfId="2637" xr:uid="{00000000-0005-0000-0000-0000A61C0000}"/>
    <cellStyle name="Normal 8 2 3 2 2 6 2" xfId="6920" xr:uid="{00000000-0005-0000-0000-0000A71C0000}"/>
    <cellStyle name="Normal 8 2 3 2 2 6 2 2" xfId="15415" xr:uid="{687EFEDA-2FDD-4BD5-A841-1190B28CDC9B}"/>
    <cellStyle name="Normal 8 2 3 2 2 6 3" xfId="11202" xr:uid="{23E0418B-2535-4537-A35E-B1EE64E6E389}"/>
    <cellStyle name="Normal 8 2 3 2 2 7" xfId="4855" xr:uid="{00000000-0005-0000-0000-0000A81C0000}"/>
    <cellStyle name="Normal 8 2 3 2 2 7 2" xfId="13350" xr:uid="{D23754F3-ABB1-4001-B256-ACE9CCF3D621}"/>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907" xr:uid="{6DEB8580-A685-41D4-AEE2-DB7638E21011}"/>
    <cellStyle name="Normal 8 2 3 2 3 2 3" xfId="11694" xr:uid="{57E3AD65-9310-4601-87B8-67D15DD74BDD}"/>
    <cellStyle name="Normal 8 2 3 2 3 3" xfId="5267" xr:uid="{00000000-0005-0000-0000-0000AC1C0000}"/>
    <cellStyle name="Normal 8 2 3 2 3 3 2" xfId="13762" xr:uid="{98126B46-91B9-47B8-B947-03DB9513ECE6}"/>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320" xr:uid="{FA3F45C1-0C4E-4962-93E4-3ECD5B19AF19}"/>
    <cellStyle name="Normal 8 2 3 2 4 2 3" xfId="12107" xr:uid="{7C0B92C6-FE21-4A49-B7CC-4799232978EE}"/>
    <cellStyle name="Normal 8 2 3 2 4 3" xfId="5680" xr:uid="{00000000-0005-0000-0000-0000B01C0000}"/>
    <cellStyle name="Normal 8 2 3 2 4 3 2" xfId="14175" xr:uid="{2C1E703B-C8DF-44CB-92AE-34EC285936E6}"/>
    <cellStyle name="Normal 8 2 3 2 4 4" xfId="9962" xr:uid="{FF42B8E9-51A3-4A69-BEDE-DD2F3BF2D03A}"/>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733" xr:uid="{50ABCB78-80DD-44CD-93A1-08BE8D30FF30}"/>
    <cellStyle name="Normal 8 2 3 2 5 2 3" xfId="12520" xr:uid="{D01D0A03-53DA-428C-91B4-3ED4A45C2B00}"/>
    <cellStyle name="Normal 8 2 3 2 5 3" xfId="6093" xr:uid="{00000000-0005-0000-0000-0000B41C0000}"/>
    <cellStyle name="Normal 8 2 3 2 5 3 2" xfId="14588" xr:uid="{8A773C03-1D3A-4B32-BE47-0F39D9CE8F9C}"/>
    <cellStyle name="Normal 8 2 3 2 5 4" xfId="10375" xr:uid="{D298B0BC-29E7-4A41-8FEC-1354C3A757FD}"/>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46" xr:uid="{698A0FCB-2DC4-42E0-A1D2-206AD56D9D2A}"/>
    <cellStyle name="Normal 8 2 3 2 6 2 3" xfId="12933" xr:uid="{956FCE44-6842-4EED-B7B4-C5282EF7551F}"/>
    <cellStyle name="Normal 8 2 3 2 6 3" xfId="6506" xr:uid="{00000000-0005-0000-0000-0000B81C0000}"/>
    <cellStyle name="Normal 8 2 3 2 6 3 2" xfId="15001" xr:uid="{C1E26F60-2260-45D7-95EB-6E7E7F5DEF6B}"/>
    <cellStyle name="Normal 8 2 3 2 6 4" xfId="10788" xr:uid="{9CD56967-A63D-47A0-84A9-3E254F20E92A}"/>
    <cellStyle name="Normal 8 2 3 2 7" xfId="2636" xr:uid="{00000000-0005-0000-0000-0000B91C0000}"/>
    <cellStyle name="Normal 8 2 3 2 7 2" xfId="6919" xr:uid="{00000000-0005-0000-0000-0000BA1C0000}"/>
    <cellStyle name="Normal 8 2 3 2 7 2 2" xfId="15414" xr:uid="{34835EC2-BA42-42CC-99AB-35B60803F6C9}"/>
    <cellStyle name="Normal 8 2 3 2 7 3" xfId="11201" xr:uid="{44B9B42E-7451-4736-A3CC-04970704FDDB}"/>
    <cellStyle name="Normal 8 2 3 2 8" xfId="4854" xr:uid="{00000000-0005-0000-0000-0000BB1C0000}"/>
    <cellStyle name="Normal 8 2 3 2 8 2" xfId="13349" xr:uid="{78CBBC82-ACAB-4111-AB2C-9C82224FD753}"/>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909" xr:uid="{7C615587-2724-4AA1-AC83-902B4587012B}"/>
    <cellStyle name="Normal 8 2 3 3 2 2 3" xfId="11696" xr:uid="{FCC5E9DD-A5BD-4F49-B014-844A6CD6DC01}"/>
    <cellStyle name="Normal 8 2 3 3 2 3" xfId="5269" xr:uid="{00000000-0005-0000-0000-0000C01C0000}"/>
    <cellStyle name="Normal 8 2 3 3 2 3 2" xfId="13764" xr:uid="{B25B26E1-D8D8-4344-AAC1-7ECEB6ED6B84}"/>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322" xr:uid="{0D574DCD-D224-4F2F-BEF6-8206D62BC061}"/>
    <cellStyle name="Normal 8 2 3 3 3 2 3" xfId="12109" xr:uid="{22E8DDF6-9C55-4536-99FD-D16C62CC4422}"/>
    <cellStyle name="Normal 8 2 3 3 3 3" xfId="5682" xr:uid="{00000000-0005-0000-0000-0000C41C0000}"/>
    <cellStyle name="Normal 8 2 3 3 3 3 2" xfId="14177" xr:uid="{CED4E609-B5C2-4D1E-A2A3-107316B3A91B}"/>
    <cellStyle name="Normal 8 2 3 3 3 4" xfId="9964" xr:uid="{B2253C4A-F9BD-4915-B0F3-37FD7DD13A79}"/>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735" xr:uid="{22A117A0-AD8E-4459-BEA9-DB6DB8C572B3}"/>
    <cellStyle name="Normal 8 2 3 3 4 2 3" xfId="12522" xr:uid="{A6421774-4D87-4D9D-9FE8-87B12A960DC0}"/>
    <cellStyle name="Normal 8 2 3 3 4 3" xfId="6095" xr:uid="{00000000-0005-0000-0000-0000C81C0000}"/>
    <cellStyle name="Normal 8 2 3 3 4 3 2" xfId="14590" xr:uid="{3A2D5CB4-ACC1-4E8F-9B03-68200B960995}"/>
    <cellStyle name="Normal 8 2 3 3 4 4" xfId="10377" xr:uid="{7A747EE4-CF12-4350-848D-8B5401D4473B}"/>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48" xr:uid="{386A230E-B592-41A9-B06B-38F1577E7DE7}"/>
    <cellStyle name="Normal 8 2 3 3 5 2 3" xfId="12935" xr:uid="{BBCE869E-2A86-45D8-A1DA-E100D4AFE0C7}"/>
    <cellStyle name="Normal 8 2 3 3 5 3" xfId="6508" xr:uid="{00000000-0005-0000-0000-0000CC1C0000}"/>
    <cellStyle name="Normal 8 2 3 3 5 3 2" xfId="15003" xr:uid="{E4BCBD18-6F0D-4FBC-99BF-75E71510739A}"/>
    <cellStyle name="Normal 8 2 3 3 5 4" xfId="10790" xr:uid="{3029736E-5434-4FA0-B293-91A3B3DAE675}"/>
    <cellStyle name="Normal 8 2 3 3 6" xfId="2638" xr:uid="{00000000-0005-0000-0000-0000CD1C0000}"/>
    <cellStyle name="Normal 8 2 3 3 6 2" xfId="6921" xr:uid="{00000000-0005-0000-0000-0000CE1C0000}"/>
    <cellStyle name="Normal 8 2 3 3 6 2 2" xfId="15416" xr:uid="{9FF1A043-295F-4453-8041-EF6A4DDC52DF}"/>
    <cellStyle name="Normal 8 2 3 3 6 3" xfId="11203" xr:uid="{187ABBEA-D68F-406F-BAA5-8359BBD600C7}"/>
    <cellStyle name="Normal 8 2 3 3 7" xfId="4856" xr:uid="{00000000-0005-0000-0000-0000CF1C0000}"/>
    <cellStyle name="Normal 8 2 3 3 7 2" xfId="13351" xr:uid="{88FDE8F5-E214-47BF-8589-B442F0B01B51}"/>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2 2 2" xfId="15906" xr:uid="{9A196CC4-7937-4F3E-B8EC-41CEF9F8AA3D}"/>
    <cellStyle name="Normal 8 2 3 4 2 3" xfId="11693" xr:uid="{710D68E9-2911-471C-B1B6-906B4C61F9FB}"/>
    <cellStyle name="Normal 8 2 3 4 3" xfId="5266" xr:uid="{00000000-0005-0000-0000-0000D31C0000}"/>
    <cellStyle name="Normal 8 2 3 4 3 2" xfId="13761" xr:uid="{D3D9C006-173C-4640-9066-0172F8C2A629}"/>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2 2 2" xfId="16319" xr:uid="{EB09F72F-2972-4D82-8010-452AA2371F6D}"/>
    <cellStyle name="Normal 8 2 3 5 2 3" xfId="12106" xr:uid="{AE93359F-839B-4400-A236-41640A0FF175}"/>
    <cellStyle name="Normal 8 2 3 5 3" xfId="5679" xr:uid="{00000000-0005-0000-0000-0000D71C0000}"/>
    <cellStyle name="Normal 8 2 3 5 3 2" xfId="14174" xr:uid="{E9DB7DEC-B27A-477C-86AE-6A48C8F7FFED}"/>
    <cellStyle name="Normal 8 2 3 5 4" xfId="9961" xr:uid="{49A1AE90-5197-42A2-8836-29AE27EBCF0E}"/>
    <cellStyle name="Normal 8 2 3 6" xfId="1785" xr:uid="{00000000-0005-0000-0000-0000D81C0000}"/>
    <cellStyle name="Normal 8 2 3 6 2" xfId="4015" xr:uid="{00000000-0005-0000-0000-0000D91C0000}"/>
    <cellStyle name="Normal 8 2 3 6 2 2" xfId="8237" xr:uid="{00000000-0005-0000-0000-0000DA1C0000}"/>
    <cellStyle name="Normal 8 2 3 6 2 2 2" xfId="16732" xr:uid="{DC1EB75A-3A30-4D51-B4F0-64AFFA3908F3}"/>
    <cellStyle name="Normal 8 2 3 6 2 3" xfId="12519" xr:uid="{69863FA5-AC5A-4AB7-AEB3-C40920E233C6}"/>
    <cellStyle name="Normal 8 2 3 6 3" xfId="6092" xr:uid="{00000000-0005-0000-0000-0000DB1C0000}"/>
    <cellStyle name="Normal 8 2 3 6 3 2" xfId="14587" xr:uid="{24552D93-9AAA-41E3-90BF-E79857A68373}"/>
    <cellStyle name="Normal 8 2 3 6 4" xfId="10374" xr:uid="{C29CC5BD-6ED1-4320-A2F0-8F8DA8249C72}"/>
    <cellStyle name="Normal 8 2 3 7" xfId="2199" xr:uid="{00000000-0005-0000-0000-0000DC1C0000}"/>
    <cellStyle name="Normal 8 2 3 7 2" xfId="4428" xr:uid="{00000000-0005-0000-0000-0000DD1C0000}"/>
    <cellStyle name="Normal 8 2 3 7 2 2" xfId="8650" xr:uid="{00000000-0005-0000-0000-0000DE1C0000}"/>
    <cellStyle name="Normal 8 2 3 7 2 2 2" xfId="17145" xr:uid="{AFF1DC8B-1235-4E59-A341-66DE2FB3DE0B}"/>
    <cellStyle name="Normal 8 2 3 7 2 3" xfId="12932" xr:uid="{AC240B1E-6AFC-4361-A82A-883337496340}"/>
    <cellStyle name="Normal 8 2 3 7 3" xfId="6505" xr:uid="{00000000-0005-0000-0000-0000DF1C0000}"/>
    <cellStyle name="Normal 8 2 3 7 3 2" xfId="15000" xr:uid="{52686775-06EC-4403-B914-3350AFFDB6DF}"/>
    <cellStyle name="Normal 8 2 3 7 4" xfId="10787" xr:uid="{ADAFA435-F5F1-49C2-A09E-01A18B83F9BC}"/>
    <cellStyle name="Normal 8 2 3 8" xfId="2635" xr:uid="{00000000-0005-0000-0000-0000E01C0000}"/>
    <cellStyle name="Normal 8 2 3 8 2" xfId="6918" xr:uid="{00000000-0005-0000-0000-0000E11C0000}"/>
    <cellStyle name="Normal 8 2 3 8 2 2" xfId="15413" xr:uid="{F1CF2F37-D744-4F5F-8032-C354665FC064}"/>
    <cellStyle name="Normal 8 2 3 8 3" xfId="11200" xr:uid="{02982E23-CF99-472B-9BC0-C6AB304222A6}"/>
    <cellStyle name="Normal 8 2 3 9" xfId="4853" xr:uid="{00000000-0005-0000-0000-0000E21C0000}"/>
    <cellStyle name="Normal 8 2 3 9 2" xfId="13348" xr:uid="{6D070148-D5BF-4659-AC6C-EF866DD0DCC7}"/>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911" xr:uid="{8F41EC60-7FD7-43A9-A018-CD6A146AE525}"/>
    <cellStyle name="Normal 8 2 4 2 2 2 3" xfId="11698" xr:uid="{3DC7BD2C-6D16-4902-8CB8-4944D6A55803}"/>
    <cellStyle name="Normal 8 2 4 2 2 3" xfId="5271" xr:uid="{00000000-0005-0000-0000-0000E81C0000}"/>
    <cellStyle name="Normal 8 2 4 2 2 3 2" xfId="13766" xr:uid="{947C1BD5-1DB0-4742-9574-A54F6CFDD44C}"/>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324" xr:uid="{A639E9AB-D588-4E60-9164-F0F6595533B5}"/>
    <cellStyle name="Normal 8 2 4 2 3 2 3" xfId="12111" xr:uid="{BC033D80-42EE-4DD5-9446-A91B43AD6E36}"/>
    <cellStyle name="Normal 8 2 4 2 3 3" xfId="5684" xr:uid="{00000000-0005-0000-0000-0000EC1C0000}"/>
    <cellStyle name="Normal 8 2 4 2 3 3 2" xfId="14179" xr:uid="{D190F5CC-EEBE-4528-A265-1B7E3ADDB460}"/>
    <cellStyle name="Normal 8 2 4 2 3 4" xfId="9966" xr:uid="{8DDC3AFF-F663-426A-AB48-61C80D46EB6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737" xr:uid="{7B983E0F-118A-4E93-A844-4934C69B9DDE}"/>
    <cellStyle name="Normal 8 2 4 2 4 2 3" xfId="12524" xr:uid="{E2307BE6-7886-4C92-A8F7-4AC112061A7C}"/>
    <cellStyle name="Normal 8 2 4 2 4 3" xfId="6097" xr:uid="{00000000-0005-0000-0000-0000F01C0000}"/>
    <cellStyle name="Normal 8 2 4 2 4 3 2" xfId="14592" xr:uid="{56B35B32-56F7-4100-A0EB-004E4972D715}"/>
    <cellStyle name="Normal 8 2 4 2 4 4" xfId="10379" xr:uid="{112A4299-E058-43A0-A705-60BC928C5837}"/>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50" xr:uid="{E537582A-2084-4FDF-9827-C2EE4A401CBC}"/>
    <cellStyle name="Normal 8 2 4 2 5 2 3" xfId="12937" xr:uid="{F24AF82F-B46E-4CB2-A5B3-D88B2EA9970D}"/>
    <cellStyle name="Normal 8 2 4 2 5 3" xfId="6510" xr:uid="{00000000-0005-0000-0000-0000F41C0000}"/>
    <cellStyle name="Normal 8 2 4 2 5 3 2" xfId="15005" xr:uid="{9B119C64-C442-4FB1-89D9-17748124186B}"/>
    <cellStyle name="Normal 8 2 4 2 5 4" xfId="10792" xr:uid="{0C86C8DD-D8CD-4198-A1B4-5DDA60624227}"/>
    <cellStyle name="Normal 8 2 4 2 6" xfId="2640" xr:uid="{00000000-0005-0000-0000-0000F51C0000}"/>
    <cellStyle name="Normal 8 2 4 2 6 2" xfId="6923" xr:uid="{00000000-0005-0000-0000-0000F61C0000}"/>
    <cellStyle name="Normal 8 2 4 2 6 2 2" xfId="15418" xr:uid="{F3B4CA9F-FC41-41BA-B27E-A45A2B8F5381}"/>
    <cellStyle name="Normal 8 2 4 2 6 3" xfId="11205" xr:uid="{33E79EFF-7A0E-4CAD-904F-7170993C4DDF}"/>
    <cellStyle name="Normal 8 2 4 2 7" xfId="4858" xr:uid="{00000000-0005-0000-0000-0000F71C0000}"/>
    <cellStyle name="Normal 8 2 4 2 7 2" xfId="13353" xr:uid="{C0F88A87-6506-49AC-947B-95209249694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2 2 2" xfId="15910" xr:uid="{7B88AC54-0D01-424A-8005-C903B2DFC9C8}"/>
    <cellStyle name="Normal 8 2 4 3 2 3" xfId="11697" xr:uid="{69E606B1-91EF-4EDD-B050-E1973E6754E5}"/>
    <cellStyle name="Normal 8 2 4 3 3" xfId="5270" xr:uid="{00000000-0005-0000-0000-0000FB1C0000}"/>
    <cellStyle name="Normal 8 2 4 3 3 2" xfId="13765" xr:uid="{CC6027EA-498C-4713-8685-E8C16AFCB1CA}"/>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2 2 2" xfId="16323" xr:uid="{F88F55D6-CD64-40BB-A56E-B143A310B4D8}"/>
    <cellStyle name="Normal 8 2 4 4 2 3" xfId="12110" xr:uid="{70D71619-3526-4C3E-A350-25D74735CD50}"/>
    <cellStyle name="Normal 8 2 4 4 3" xfId="5683" xr:uid="{00000000-0005-0000-0000-0000FF1C0000}"/>
    <cellStyle name="Normal 8 2 4 4 3 2" xfId="14178" xr:uid="{3964CFAC-4EDC-4E3D-B7D4-7B80A2058F6A}"/>
    <cellStyle name="Normal 8 2 4 4 4" xfId="9965" xr:uid="{C386C824-3782-4BCB-A209-03545BC596A6}"/>
    <cellStyle name="Normal 8 2 4 5" xfId="1789" xr:uid="{00000000-0005-0000-0000-0000001D0000}"/>
    <cellStyle name="Normal 8 2 4 5 2" xfId="4019" xr:uid="{00000000-0005-0000-0000-0000011D0000}"/>
    <cellStyle name="Normal 8 2 4 5 2 2" xfId="8241" xr:uid="{00000000-0005-0000-0000-0000021D0000}"/>
    <cellStyle name="Normal 8 2 4 5 2 2 2" xfId="16736" xr:uid="{1D580410-B461-45DF-ADB2-F521BDD8FC7D}"/>
    <cellStyle name="Normal 8 2 4 5 2 3" xfId="12523" xr:uid="{A71D5390-2C6C-497D-BBEE-16B8E7F13081}"/>
    <cellStyle name="Normal 8 2 4 5 3" xfId="6096" xr:uid="{00000000-0005-0000-0000-0000031D0000}"/>
    <cellStyle name="Normal 8 2 4 5 3 2" xfId="14591" xr:uid="{15B3938D-99FA-40E4-BF72-F3E59B016D41}"/>
    <cellStyle name="Normal 8 2 4 5 4" xfId="10378" xr:uid="{D99FAA26-3758-48C3-933C-4302432ED418}"/>
    <cellStyle name="Normal 8 2 4 6" xfId="2203" xr:uid="{00000000-0005-0000-0000-0000041D0000}"/>
    <cellStyle name="Normal 8 2 4 6 2" xfId="4432" xr:uid="{00000000-0005-0000-0000-0000051D0000}"/>
    <cellStyle name="Normal 8 2 4 6 2 2" xfId="8654" xr:uid="{00000000-0005-0000-0000-0000061D0000}"/>
    <cellStyle name="Normal 8 2 4 6 2 2 2" xfId="17149" xr:uid="{B8146D1D-E247-47AA-91AA-EBA518F5AEF6}"/>
    <cellStyle name="Normal 8 2 4 6 2 3" xfId="12936" xr:uid="{F4676A26-5E66-49F8-ACF0-A2B7C4CCFCFB}"/>
    <cellStyle name="Normal 8 2 4 6 3" xfId="6509" xr:uid="{00000000-0005-0000-0000-0000071D0000}"/>
    <cellStyle name="Normal 8 2 4 6 3 2" xfId="15004" xr:uid="{2B1274C0-364B-4F2E-840B-EC5BC4211B53}"/>
    <cellStyle name="Normal 8 2 4 6 4" xfId="10791" xr:uid="{115648DA-4030-4D48-BF78-EC9ED6DA3961}"/>
    <cellStyle name="Normal 8 2 4 7" xfId="2639" xr:uid="{00000000-0005-0000-0000-0000081D0000}"/>
    <cellStyle name="Normal 8 2 4 7 2" xfId="6922" xr:uid="{00000000-0005-0000-0000-0000091D0000}"/>
    <cellStyle name="Normal 8 2 4 7 2 2" xfId="15417" xr:uid="{211E49B5-5B05-4A74-8BA4-D35AA57FA9B2}"/>
    <cellStyle name="Normal 8 2 4 7 3" xfId="11204" xr:uid="{2BE5F9EF-1BB4-4F75-9518-20BF02DDC74B}"/>
    <cellStyle name="Normal 8 2 4 8" xfId="4857" xr:uid="{00000000-0005-0000-0000-00000A1D0000}"/>
    <cellStyle name="Normal 8 2 4 8 2" xfId="13352" xr:uid="{F76B4A83-4EA4-4C22-AE0D-F62B0EF85475}"/>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912" xr:uid="{E2DAD68D-F24B-499B-BB2F-D7ECA157AA53}"/>
    <cellStyle name="Normal 8 2 5 2 2 3" xfId="11699" xr:uid="{7A6EDE7A-8D6D-40DF-A9CA-7CDC9910F780}"/>
    <cellStyle name="Normal 8 2 5 2 3" xfId="5272" xr:uid="{00000000-0005-0000-0000-00000F1D0000}"/>
    <cellStyle name="Normal 8 2 5 2 3 2" xfId="13767" xr:uid="{3828CD7F-0A68-4F15-BD7A-80EFE503172C}"/>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2 2 2" xfId="16325" xr:uid="{A82B1435-326B-43E3-801E-22DA1F75DE36}"/>
    <cellStyle name="Normal 8 2 5 3 2 3" xfId="12112" xr:uid="{F90AB7E1-F0F9-4391-A9A8-D880BC8D1412}"/>
    <cellStyle name="Normal 8 2 5 3 3" xfId="5685" xr:uid="{00000000-0005-0000-0000-0000131D0000}"/>
    <cellStyle name="Normal 8 2 5 3 3 2" xfId="14180" xr:uid="{92A41157-E147-4C36-B1A0-48AA2D3DA6FE}"/>
    <cellStyle name="Normal 8 2 5 3 4" xfId="9967" xr:uid="{D0400D63-04A9-4FE5-94C3-E951E46EC7CA}"/>
    <cellStyle name="Normal 8 2 5 4" xfId="1791" xr:uid="{00000000-0005-0000-0000-0000141D0000}"/>
    <cellStyle name="Normal 8 2 5 4 2" xfId="4021" xr:uid="{00000000-0005-0000-0000-0000151D0000}"/>
    <cellStyle name="Normal 8 2 5 4 2 2" xfId="8243" xr:uid="{00000000-0005-0000-0000-0000161D0000}"/>
    <cellStyle name="Normal 8 2 5 4 2 2 2" xfId="16738" xr:uid="{7219C4AE-BBF2-49A2-94EA-06CECABD412E}"/>
    <cellStyle name="Normal 8 2 5 4 2 3" xfId="12525" xr:uid="{7D4A6E38-2F48-4C81-A9B9-E0D55B90EBEE}"/>
    <cellStyle name="Normal 8 2 5 4 3" xfId="6098" xr:uid="{00000000-0005-0000-0000-0000171D0000}"/>
    <cellStyle name="Normal 8 2 5 4 3 2" xfId="14593" xr:uid="{66A931ED-86BA-49C3-AB4C-C08EB3A61FD0}"/>
    <cellStyle name="Normal 8 2 5 4 4" xfId="10380" xr:uid="{9455E9FE-9225-4A80-8F70-5C026CAF9D84}"/>
    <cellStyle name="Normal 8 2 5 5" xfId="2205" xr:uid="{00000000-0005-0000-0000-0000181D0000}"/>
    <cellStyle name="Normal 8 2 5 5 2" xfId="4434" xr:uid="{00000000-0005-0000-0000-0000191D0000}"/>
    <cellStyle name="Normal 8 2 5 5 2 2" xfId="8656" xr:uid="{00000000-0005-0000-0000-00001A1D0000}"/>
    <cellStyle name="Normal 8 2 5 5 2 2 2" xfId="17151" xr:uid="{9DF49628-555B-4AC9-BF4F-6287208CCF84}"/>
    <cellStyle name="Normal 8 2 5 5 2 3" xfId="12938" xr:uid="{424B2B67-8F64-49F1-8856-98AE77AB773C}"/>
    <cellStyle name="Normal 8 2 5 5 3" xfId="6511" xr:uid="{00000000-0005-0000-0000-00001B1D0000}"/>
    <cellStyle name="Normal 8 2 5 5 3 2" xfId="15006" xr:uid="{7DEB9479-2864-4CF4-A801-A176F92DE6C7}"/>
    <cellStyle name="Normal 8 2 5 5 4" xfId="10793" xr:uid="{4F84B50F-9938-4F79-8153-E36A06F17893}"/>
    <cellStyle name="Normal 8 2 5 6" xfId="2641" xr:uid="{00000000-0005-0000-0000-00001C1D0000}"/>
    <cellStyle name="Normal 8 2 5 6 2" xfId="6924" xr:uid="{00000000-0005-0000-0000-00001D1D0000}"/>
    <cellStyle name="Normal 8 2 5 6 2 2" xfId="15419" xr:uid="{0A6C40B9-7664-46B9-A2F3-934FF4D3F344}"/>
    <cellStyle name="Normal 8 2 5 6 3" xfId="11206" xr:uid="{BA6FCE66-8811-4BDE-A6E9-AB0398529D0B}"/>
    <cellStyle name="Normal 8 2 5 7" xfId="4859" xr:uid="{00000000-0005-0000-0000-00001E1D0000}"/>
    <cellStyle name="Normal 8 2 5 7 2" xfId="13354" xr:uid="{576B0D5A-088F-41CB-B757-3F94533F08F3}"/>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2 2 2" xfId="15897" xr:uid="{98941CE8-2938-484C-98BB-888AD2794465}"/>
    <cellStyle name="Normal 8 2 6 2 3" xfId="11684" xr:uid="{4323A30E-FDFC-4389-9DBE-98A9D8BB01DA}"/>
    <cellStyle name="Normal 8 2 6 3" xfId="5257" xr:uid="{00000000-0005-0000-0000-0000221D0000}"/>
    <cellStyle name="Normal 8 2 6 3 2" xfId="13752" xr:uid="{B4FF7F7B-D73D-4483-AF99-B17F5EA3E5E8}"/>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2 2 2" xfId="16310" xr:uid="{75BFDC05-23B5-43D5-8904-C83C44C03804}"/>
    <cellStyle name="Normal 8 2 7 2 3" xfId="12097" xr:uid="{F93233BA-30BA-4DAF-8C92-1350CEC380A8}"/>
    <cellStyle name="Normal 8 2 7 3" xfId="5670" xr:uid="{00000000-0005-0000-0000-0000261D0000}"/>
    <cellStyle name="Normal 8 2 7 3 2" xfId="14165" xr:uid="{1B6E48E8-4896-4920-AF67-87BB6B5DC570}"/>
    <cellStyle name="Normal 8 2 7 4" xfId="9952" xr:uid="{0E20EB56-B9BD-4E7D-85A0-9FA2287448E5}"/>
    <cellStyle name="Normal 8 2 8" xfId="1776" xr:uid="{00000000-0005-0000-0000-0000271D0000}"/>
    <cellStyle name="Normal 8 2 8 2" xfId="4006" xr:uid="{00000000-0005-0000-0000-0000281D0000}"/>
    <cellStyle name="Normal 8 2 8 2 2" xfId="8228" xr:uid="{00000000-0005-0000-0000-0000291D0000}"/>
    <cellStyle name="Normal 8 2 8 2 2 2" xfId="16723" xr:uid="{884D0D8C-70A8-45DE-882F-C02B581D58E9}"/>
    <cellStyle name="Normal 8 2 8 2 3" xfId="12510" xr:uid="{C4D2668D-D264-460D-B637-E03176BE46B0}"/>
    <cellStyle name="Normal 8 2 8 3" xfId="6083" xr:uid="{00000000-0005-0000-0000-00002A1D0000}"/>
    <cellStyle name="Normal 8 2 8 3 2" xfId="14578" xr:uid="{49567A57-5BE4-4D5C-9990-27C0F8FC4C55}"/>
    <cellStyle name="Normal 8 2 8 4" xfId="10365" xr:uid="{293E057C-228C-4FF5-A17A-3119916BF6B7}"/>
    <cellStyle name="Normal 8 2 9" xfId="2190" xr:uid="{00000000-0005-0000-0000-00002B1D0000}"/>
    <cellStyle name="Normal 8 2 9 2" xfId="4419" xr:uid="{00000000-0005-0000-0000-00002C1D0000}"/>
    <cellStyle name="Normal 8 2 9 2 2" xfId="8641" xr:uid="{00000000-0005-0000-0000-00002D1D0000}"/>
    <cellStyle name="Normal 8 2 9 2 2 2" xfId="17136" xr:uid="{7EE9D042-9441-4979-A56F-86C029CFE14F}"/>
    <cellStyle name="Normal 8 2 9 2 3" xfId="12923" xr:uid="{09B134BD-4089-4D3F-ABDD-76D853B843EA}"/>
    <cellStyle name="Normal 8 2 9 3" xfId="6496" xr:uid="{00000000-0005-0000-0000-00002E1D0000}"/>
    <cellStyle name="Normal 8 2 9 3 2" xfId="14991" xr:uid="{FC91AC79-8EAE-4C52-A9A5-4BEACE06AF5D}"/>
    <cellStyle name="Normal 8 2 9 4" xfId="10778" xr:uid="{ACFC0F36-1EAA-4B8F-8596-6216F125EB26}"/>
    <cellStyle name="Normal 8 3" xfId="495" xr:uid="{00000000-0005-0000-0000-00002F1D0000}"/>
    <cellStyle name="Normal 8 3 10" xfId="4860" xr:uid="{00000000-0005-0000-0000-0000301D0000}"/>
    <cellStyle name="Normal 8 3 10 2" xfId="13355" xr:uid="{0ECF295C-37E7-4C1F-8F13-E4DD669DA8A5}"/>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916" xr:uid="{8EEA2259-142C-4D04-8C9A-F782FB182B73}"/>
    <cellStyle name="Normal 8 3 2 2 2 2 2 3" xfId="11703" xr:uid="{DAC6AE0A-3616-46D4-8950-6F8F2ACA2E1F}"/>
    <cellStyle name="Normal 8 3 2 2 2 2 3" xfId="5276" xr:uid="{00000000-0005-0000-0000-0000371D0000}"/>
    <cellStyle name="Normal 8 3 2 2 2 2 3 2" xfId="13771" xr:uid="{9FEF60CE-B3BD-4A83-BC03-914D54CD4081}"/>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329" xr:uid="{A5745FF7-D570-4A27-A13E-6A067E074A2A}"/>
    <cellStyle name="Normal 8 3 2 2 2 3 2 3" xfId="12116" xr:uid="{09E67E85-4BF0-4712-9EB2-81421F20B730}"/>
    <cellStyle name="Normal 8 3 2 2 2 3 3" xfId="5689" xr:uid="{00000000-0005-0000-0000-00003B1D0000}"/>
    <cellStyle name="Normal 8 3 2 2 2 3 3 2" xfId="14184" xr:uid="{05069814-0544-4F0D-A85E-2037289A30E5}"/>
    <cellStyle name="Normal 8 3 2 2 2 3 4" xfId="9971" xr:uid="{3B27FA27-974C-4025-B2DA-2FD9A12AD9F4}"/>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742" xr:uid="{F13A06B7-881D-43A4-8416-0C9936E22362}"/>
    <cellStyle name="Normal 8 3 2 2 2 4 2 3" xfId="12529" xr:uid="{2C6EF236-034F-427C-A01E-C61C8BF6A972}"/>
    <cellStyle name="Normal 8 3 2 2 2 4 3" xfId="6102" xr:uid="{00000000-0005-0000-0000-00003F1D0000}"/>
    <cellStyle name="Normal 8 3 2 2 2 4 3 2" xfId="14597" xr:uid="{03C18D5C-147A-471B-891F-56EE9E2358B4}"/>
    <cellStyle name="Normal 8 3 2 2 2 4 4" xfId="10384" xr:uid="{4B4C7231-3476-46D7-A059-642260C82797}"/>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55" xr:uid="{DD4FC1A8-D632-4950-A057-5E787259CC22}"/>
    <cellStyle name="Normal 8 3 2 2 2 5 2 3" xfId="12942" xr:uid="{0A983100-E5F2-4B4B-A6C7-C9EC21BB84A3}"/>
    <cellStyle name="Normal 8 3 2 2 2 5 3" xfId="6515" xr:uid="{00000000-0005-0000-0000-0000431D0000}"/>
    <cellStyle name="Normal 8 3 2 2 2 5 3 2" xfId="15010" xr:uid="{6DCD7C54-0AF6-4313-95C0-C678483296B3}"/>
    <cellStyle name="Normal 8 3 2 2 2 5 4" xfId="10797" xr:uid="{E6D28D78-2925-450B-9951-DC732818009C}"/>
    <cellStyle name="Normal 8 3 2 2 2 6" xfId="2645" xr:uid="{00000000-0005-0000-0000-0000441D0000}"/>
    <cellStyle name="Normal 8 3 2 2 2 6 2" xfId="6928" xr:uid="{00000000-0005-0000-0000-0000451D0000}"/>
    <cellStyle name="Normal 8 3 2 2 2 6 2 2" xfId="15423" xr:uid="{51D03471-87A9-4CD2-AFB8-B3867266BB76}"/>
    <cellStyle name="Normal 8 3 2 2 2 6 3" xfId="11210" xr:uid="{9D963D98-CE66-4F06-8690-B75A0BF79BC9}"/>
    <cellStyle name="Normal 8 3 2 2 2 7" xfId="4863" xr:uid="{00000000-0005-0000-0000-0000461D0000}"/>
    <cellStyle name="Normal 8 3 2 2 2 7 2" xfId="13358" xr:uid="{037C92A3-3F44-4F30-9F99-D6F30581E607}"/>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915" xr:uid="{F5DA4DA2-D153-4C62-8361-154DF83AE960}"/>
    <cellStyle name="Normal 8 3 2 2 3 2 3" xfId="11702" xr:uid="{7D1A81B4-5E21-419A-BDF9-891AB3328C33}"/>
    <cellStyle name="Normal 8 3 2 2 3 3" xfId="5275" xr:uid="{00000000-0005-0000-0000-00004A1D0000}"/>
    <cellStyle name="Normal 8 3 2 2 3 3 2" xfId="13770" xr:uid="{6A8E498E-3FA6-4651-BC73-584BDE61A14B}"/>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328" xr:uid="{36CCBAD2-C06E-428B-BD1B-E4223D274DCA}"/>
    <cellStyle name="Normal 8 3 2 2 4 2 3" xfId="12115" xr:uid="{27BE0664-4CC3-4547-9307-9B3E1521B3FA}"/>
    <cellStyle name="Normal 8 3 2 2 4 3" xfId="5688" xr:uid="{00000000-0005-0000-0000-00004E1D0000}"/>
    <cellStyle name="Normal 8 3 2 2 4 3 2" xfId="14183" xr:uid="{46015F35-9129-4C39-A5C7-FEE8CD6EF532}"/>
    <cellStyle name="Normal 8 3 2 2 4 4" xfId="9970" xr:uid="{A90078A5-1F92-4541-A722-59E846F41391}"/>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741" xr:uid="{CB6440C1-74C8-4667-9E70-251D4EF698F2}"/>
    <cellStyle name="Normal 8 3 2 2 5 2 3" xfId="12528" xr:uid="{CD222678-099C-46D4-A0A3-19C619CB3C13}"/>
    <cellStyle name="Normal 8 3 2 2 5 3" xfId="6101" xr:uid="{00000000-0005-0000-0000-0000521D0000}"/>
    <cellStyle name="Normal 8 3 2 2 5 3 2" xfId="14596" xr:uid="{FCEC3360-EE2C-43ED-9B3F-6019A8A6E93C}"/>
    <cellStyle name="Normal 8 3 2 2 5 4" xfId="10383" xr:uid="{AFD151A7-7B73-438E-961D-0F9C0F9F0C11}"/>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54" xr:uid="{E7FBDED6-7844-4ADA-B507-36D68EC8D460}"/>
    <cellStyle name="Normal 8 3 2 2 6 2 3" xfId="12941" xr:uid="{961654CB-00EC-4A82-99F2-D13684448D03}"/>
    <cellStyle name="Normal 8 3 2 2 6 3" xfId="6514" xr:uid="{00000000-0005-0000-0000-0000561D0000}"/>
    <cellStyle name="Normal 8 3 2 2 6 3 2" xfId="15009" xr:uid="{6D5277F7-CDE6-4C47-ACE4-30BA9F4521F2}"/>
    <cellStyle name="Normal 8 3 2 2 6 4" xfId="10796" xr:uid="{0248A0FC-8EDF-4ECD-A3EA-20C70FBC797C}"/>
    <cellStyle name="Normal 8 3 2 2 7" xfId="2644" xr:uid="{00000000-0005-0000-0000-0000571D0000}"/>
    <cellStyle name="Normal 8 3 2 2 7 2" xfId="6927" xr:uid="{00000000-0005-0000-0000-0000581D0000}"/>
    <cellStyle name="Normal 8 3 2 2 7 2 2" xfId="15422" xr:uid="{963F7E0F-3E15-4A75-8FB0-18ED722FC859}"/>
    <cellStyle name="Normal 8 3 2 2 7 3" xfId="11209" xr:uid="{79C10504-A21D-4E54-926C-D1358B363866}"/>
    <cellStyle name="Normal 8 3 2 2 8" xfId="4862" xr:uid="{00000000-0005-0000-0000-0000591D0000}"/>
    <cellStyle name="Normal 8 3 2 2 8 2" xfId="13357" xr:uid="{5B24B88E-65E9-4FCC-9E3C-FBEF426363B1}"/>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917" xr:uid="{14499CCC-2C8A-4C17-A326-93C797DA4802}"/>
    <cellStyle name="Normal 8 3 2 3 2 2 3" xfId="11704" xr:uid="{4AE0E98F-1D65-4087-B804-ED5D25867A97}"/>
    <cellStyle name="Normal 8 3 2 3 2 3" xfId="5277" xr:uid="{00000000-0005-0000-0000-00005E1D0000}"/>
    <cellStyle name="Normal 8 3 2 3 2 3 2" xfId="13772" xr:uid="{6D61A665-58ED-4E10-815B-6A4A4E446EA2}"/>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330" xr:uid="{66E8CD9F-F279-4D13-A95C-9711A3043F4F}"/>
    <cellStyle name="Normal 8 3 2 3 3 2 3" xfId="12117" xr:uid="{8E0DF7C0-B522-4016-9DE8-27215F82600C}"/>
    <cellStyle name="Normal 8 3 2 3 3 3" xfId="5690" xr:uid="{00000000-0005-0000-0000-0000621D0000}"/>
    <cellStyle name="Normal 8 3 2 3 3 3 2" xfId="14185" xr:uid="{934E3D44-5951-4524-A746-FB0A8D9E62B0}"/>
    <cellStyle name="Normal 8 3 2 3 3 4" xfId="9972" xr:uid="{4D248F88-8659-4889-9567-7CE0BD807472}"/>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743" xr:uid="{89FAA25E-53C0-4E8B-9A8A-3EBE3314DACB}"/>
    <cellStyle name="Normal 8 3 2 3 4 2 3" xfId="12530" xr:uid="{FB2D100A-48AC-4452-B581-457268387CAA}"/>
    <cellStyle name="Normal 8 3 2 3 4 3" xfId="6103" xr:uid="{00000000-0005-0000-0000-0000661D0000}"/>
    <cellStyle name="Normal 8 3 2 3 4 3 2" xfId="14598" xr:uid="{C07CC8A0-33BC-490F-AC83-5B269FDF4B41}"/>
    <cellStyle name="Normal 8 3 2 3 4 4" xfId="10385" xr:uid="{7E6504F2-F53C-43AA-8C36-9BCCF8E9688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56" xr:uid="{84D9B91B-88E1-4AD5-A1C0-1244F4F60512}"/>
    <cellStyle name="Normal 8 3 2 3 5 2 3" xfId="12943" xr:uid="{260E2C25-CB70-4322-BC5E-A3DDB8D37884}"/>
    <cellStyle name="Normal 8 3 2 3 5 3" xfId="6516" xr:uid="{00000000-0005-0000-0000-00006A1D0000}"/>
    <cellStyle name="Normal 8 3 2 3 5 3 2" xfId="15011" xr:uid="{84A506D3-CC02-41F5-A545-3A23BCA36907}"/>
    <cellStyle name="Normal 8 3 2 3 5 4" xfId="10798" xr:uid="{665724F5-8308-4521-B429-2B7DCC9862DF}"/>
    <cellStyle name="Normal 8 3 2 3 6" xfId="2646" xr:uid="{00000000-0005-0000-0000-00006B1D0000}"/>
    <cellStyle name="Normal 8 3 2 3 6 2" xfId="6929" xr:uid="{00000000-0005-0000-0000-00006C1D0000}"/>
    <cellStyle name="Normal 8 3 2 3 6 2 2" xfId="15424" xr:uid="{DE2766F2-DECE-4201-AFA6-B12CA7BA0E5B}"/>
    <cellStyle name="Normal 8 3 2 3 6 3" xfId="11211" xr:uid="{8B760DC9-5DD9-4D93-BE09-9A1B09C379A7}"/>
    <cellStyle name="Normal 8 3 2 3 7" xfId="4864" xr:uid="{00000000-0005-0000-0000-00006D1D0000}"/>
    <cellStyle name="Normal 8 3 2 3 7 2" xfId="13359" xr:uid="{5B622B6F-C114-4E7B-A432-0AA49F80DF88}"/>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2 2 2" xfId="15914" xr:uid="{6CC56938-2350-4D49-A071-4EBCF9594A0F}"/>
    <cellStyle name="Normal 8 3 2 4 2 3" xfId="11701" xr:uid="{047A1A50-F96A-4A16-AAA5-4EE75297705A}"/>
    <cellStyle name="Normal 8 3 2 4 3" xfId="5274" xr:uid="{00000000-0005-0000-0000-0000711D0000}"/>
    <cellStyle name="Normal 8 3 2 4 3 2" xfId="13769" xr:uid="{3B4ECFAF-061D-493A-8F5D-D8B7285149B1}"/>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2 2 2" xfId="16327" xr:uid="{46B5BD14-267C-4736-9FDB-E8C74A43ABDD}"/>
    <cellStyle name="Normal 8 3 2 5 2 3" xfId="12114" xr:uid="{DFCFB92E-DC46-4F76-97A0-926F6FCA01D9}"/>
    <cellStyle name="Normal 8 3 2 5 3" xfId="5687" xr:uid="{00000000-0005-0000-0000-0000751D0000}"/>
    <cellStyle name="Normal 8 3 2 5 3 2" xfId="14182" xr:uid="{08C6A67B-4C65-4E79-AA3A-1F862DF142D3}"/>
    <cellStyle name="Normal 8 3 2 5 4" xfId="9969" xr:uid="{1B7AB227-6C24-4BBA-9ADC-D6101C4DF358}"/>
    <cellStyle name="Normal 8 3 2 6" xfId="1793" xr:uid="{00000000-0005-0000-0000-0000761D0000}"/>
    <cellStyle name="Normal 8 3 2 6 2" xfId="4023" xr:uid="{00000000-0005-0000-0000-0000771D0000}"/>
    <cellStyle name="Normal 8 3 2 6 2 2" xfId="8245" xr:uid="{00000000-0005-0000-0000-0000781D0000}"/>
    <cellStyle name="Normal 8 3 2 6 2 2 2" xfId="16740" xr:uid="{3861D412-3AAE-48D9-AB20-5F129421C0E5}"/>
    <cellStyle name="Normal 8 3 2 6 2 3" xfId="12527" xr:uid="{AA0F02E9-810F-4F81-BF45-D6ECC0A4BF28}"/>
    <cellStyle name="Normal 8 3 2 6 3" xfId="6100" xr:uid="{00000000-0005-0000-0000-0000791D0000}"/>
    <cellStyle name="Normal 8 3 2 6 3 2" xfId="14595" xr:uid="{1C2B278B-52F1-4481-8173-06DAD299A615}"/>
    <cellStyle name="Normal 8 3 2 6 4" xfId="10382" xr:uid="{0986076C-B78C-4E53-B58F-CBAA169EB7AC}"/>
    <cellStyle name="Normal 8 3 2 7" xfId="2207" xr:uid="{00000000-0005-0000-0000-00007A1D0000}"/>
    <cellStyle name="Normal 8 3 2 7 2" xfId="4436" xr:uid="{00000000-0005-0000-0000-00007B1D0000}"/>
    <cellStyle name="Normal 8 3 2 7 2 2" xfId="8658" xr:uid="{00000000-0005-0000-0000-00007C1D0000}"/>
    <cellStyle name="Normal 8 3 2 7 2 2 2" xfId="17153" xr:uid="{1EB85A32-CB5D-409A-8C63-CF14B7807761}"/>
    <cellStyle name="Normal 8 3 2 7 2 3" xfId="12940" xr:uid="{55E1DE88-1417-44EA-9A0E-6CD3800E37EC}"/>
    <cellStyle name="Normal 8 3 2 7 3" xfId="6513" xr:uid="{00000000-0005-0000-0000-00007D1D0000}"/>
    <cellStyle name="Normal 8 3 2 7 3 2" xfId="15008" xr:uid="{09F33685-A14C-420A-BC11-1B4CC2DBD53D}"/>
    <cellStyle name="Normal 8 3 2 7 4" xfId="10795" xr:uid="{05949B7E-37C0-4715-B668-36D1978EE771}"/>
    <cellStyle name="Normal 8 3 2 8" xfId="2643" xr:uid="{00000000-0005-0000-0000-00007E1D0000}"/>
    <cellStyle name="Normal 8 3 2 8 2" xfId="6926" xr:uid="{00000000-0005-0000-0000-00007F1D0000}"/>
    <cellStyle name="Normal 8 3 2 8 2 2" xfId="15421" xr:uid="{59E1E8EF-7129-480A-A9CB-0F59497E979C}"/>
    <cellStyle name="Normal 8 3 2 8 3" xfId="11208" xr:uid="{468936F4-62C7-4ECE-ADBD-2D65DD76919D}"/>
    <cellStyle name="Normal 8 3 2 9" xfId="4861" xr:uid="{00000000-0005-0000-0000-0000801D0000}"/>
    <cellStyle name="Normal 8 3 2 9 2" xfId="13356" xr:uid="{CC756BB9-0C50-4149-B4F3-908A3C2FEB11}"/>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919" xr:uid="{7FE6BC8E-E0B0-4202-A1A9-9D16E66B8709}"/>
    <cellStyle name="Normal 8 3 3 2 2 2 3" xfId="11706" xr:uid="{C55DFE46-88BE-45FA-95D1-EFCABA32E75E}"/>
    <cellStyle name="Normal 8 3 3 2 2 3" xfId="5279" xr:uid="{00000000-0005-0000-0000-0000861D0000}"/>
    <cellStyle name="Normal 8 3 3 2 2 3 2" xfId="13774" xr:uid="{1C278A89-D4A3-4BBD-A695-2072B2BB7847}"/>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332" xr:uid="{3EF249F5-1C7F-471E-8613-20044E358078}"/>
    <cellStyle name="Normal 8 3 3 2 3 2 3" xfId="12119" xr:uid="{6A7DDA7B-E5F6-4E8C-A6E1-B05066169CEF}"/>
    <cellStyle name="Normal 8 3 3 2 3 3" xfId="5692" xr:uid="{00000000-0005-0000-0000-00008A1D0000}"/>
    <cellStyle name="Normal 8 3 3 2 3 3 2" xfId="14187" xr:uid="{B81EE56E-DCC3-4BE4-956F-B7F7E781912F}"/>
    <cellStyle name="Normal 8 3 3 2 3 4" xfId="9974" xr:uid="{9FDA2706-D970-4DE0-BA32-D60C734FCE1C}"/>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45" xr:uid="{3662389D-407E-4F2C-93F8-F5BBB0839019}"/>
    <cellStyle name="Normal 8 3 3 2 4 2 3" xfId="12532" xr:uid="{8533FC54-BB29-40CE-8CE4-CA81824B1723}"/>
    <cellStyle name="Normal 8 3 3 2 4 3" xfId="6105" xr:uid="{00000000-0005-0000-0000-00008E1D0000}"/>
    <cellStyle name="Normal 8 3 3 2 4 3 2" xfId="14600" xr:uid="{E052EB84-AF2F-4441-8C49-34DAA05EA969}"/>
    <cellStyle name="Normal 8 3 3 2 4 4" xfId="10387" xr:uid="{7BA5E2DD-CF40-46FC-AFC7-312B09BFA1ED}"/>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58" xr:uid="{EC926CB2-9123-4F34-81C7-E20066696E91}"/>
    <cellStyle name="Normal 8 3 3 2 5 2 3" xfId="12945" xr:uid="{5EA316EF-9093-4E44-A1CA-9F2BB24274DE}"/>
    <cellStyle name="Normal 8 3 3 2 5 3" xfId="6518" xr:uid="{00000000-0005-0000-0000-0000921D0000}"/>
    <cellStyle name="Normal 8 3 3 2 5 3 2" xfId="15013" xr:uid="{BF2535A6-DA87-4752-994C-C22C09FD744B}"/>
    <cellStyle name="Normal 8 3 3 2 5 4" xfId="10800" xr:uid="{7829CA7B-69FE-40EB-99C5-5A287DFE1F11}"/>
    <cellStyle name="Normal 8 3 3 2 6" xfId="2648" xr:uid="{00000000-0005-0000-0000-0000931D0000}"/>
    <cellStyle name="Normal 8 3 3 2 6 2" xfId="6931" xr:uid="{00000000-0005-0000-0000-0000941D0000}"/>
    <cellStyle name="Normal 8 3 3 2 6 2 2" xfId="15426" xr:uid="{8EC34842-BC3B-4023-835B-D3EE2786725F}"/>
    <cellStyle name="Normal 8 3 3 2 6 3" xfId="11213" xr:uid="{21555968-A31B-4DF8-8369-805DE59EBB4A}"/>
    <cellStyle name="Normal 8 3 3 2 7" xfId="4866" xr:uid="{00000000-0005-0000-0000-0000951D0000}"/>
    <cellStyle name="Normal 8 3 3 2 7 2" xfId="13361" xr:uid="{A4F09C77-D25D-4AED-B96D-6654362E9FE7}"/>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2 2 2" xfId="15918" xr:uid="{99799742-746E-4BF3-B797-8E70DA5C956B}"/>
    <cellStyle name="Normal 8 3 3 3 2 3" xfId="11705" xr:uid="{81426EED-3EEA-485E-9F6C-A9FAEAEF8CAE}"/>
    <cellStyle name="Normal 8 3 3 3 3" xfId="5278" xr:uid="{00000000-0005-0000-0000-0000991D0000}"/>
    <cellStyle name="Normal 8 3 3 3 3 2" xfId="13773" xr:uid="{1AF9EAE5-D755-46CA-BD60-CAA8C1887F77}"/>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2 2 2" xfId="16331" xr:uid="{0AAB783E-0F2A-4600-BC69-355441B56A2E}"/>
    <cellStyle name="Normal 8 3 3 4 2 3" xfId="12118" xr:uid="{9459F16D-EFF8-431A-AB9D-E77337743E50}"/>
    <cellStyle name="Normal 8 3 3 4 3" xfId="5691" xr:uid="{00000000-0005-0000-0000-00009D1D0000}"/>
    <cellStyle name="Normal 8 3 3 4 3 2" xfId="14186" xr:uid="{4B8DDAAB-8972-4B7B-9862-EFDC58670D97}"/>
    <cellStyle name="Normal 8 3 3 4 4" xfId="9973" xr:uid="{BFC0A723-80BC-4248-B8D3-7A05BE7810FF}"/>
    <cellStyle name="Normal 8 3 3 5" xfId="1797" xr:uid="{00000000-0005-0000-0000-00009E1D0000}"/>
    <cellStyle name="Normal 8 3 3 5 2" xfId="4027" xr:uid="{00000000-0005-0000-0000-00009F1D0000}"/>
    <cellStyle name="Normal 8 3 3 5 2 2" xfId="8249" xr:uid="{00000000-0005-0000-0000-0000A01D0000}"/>
    <cellStyle name="Normal 8 3 3 5 2 2 2" xfId="16744" xr:uid="{9326DA0F-40FD-4B54-A31D-80D0B7BD2FB2}"/>
    <cellStyle name="Normal 8 3 3 5 2 3" xfId="12531" xr:uid="{384E210C-6D38-4D51-BF02-527173F6BA72}"/>
    <cellStyle name="Normal 8 3 3 5 3" xfId="6104" xr:uid="{00000000-0005-0000-0000-0000A11D0000}"/>
    <cellStyle name="Normal 8 3 3 5 3 2" xfId="14599" xr:uid="{99E255B2-A041-4053-A0DF-0F1CDFA8E3F4}"/>
    <cellStyle name="Normal 8 3 3 5 4" xfId="10386" xr:uid="{53D0F3ED-5897-4B6C-A1C5-C290F5D557D9}"/>
    <cellStyle name="Normal 8 3 3 6" xfId="2211" xr:uid="{00000000-0005-0000-0000-0000A21D0000}"/>
    <cellStyle name="Normal 8 3 3 6 2" xfId="4440" xr:uid="{00000000-0005-0000-0000-0000A31D0000}"/>
    <cellStyle name="Normal 8 3 3 6 2 2" xfId="8662" xr:uid="{00000000-0005-0000-0000-0000A41D0000}"/>
    <cellStyle name="Normal 8 3 3 6 2 2 2" xfId="17157" xr:uid="{1AE5D998-FAC5-4D96-880A-8623A02599F6}"/>
    <cellStyle name="Normal 8 3 3 6 2 3" xfId="12944" xr:uid="{544287E0-AC52-4118-8C07-23FFA7DB6024}"/>
    <cellStyle name="Normal 8 3 3 6 3" xfId="6517" xr:uid="{00000000-0005-0000-0000-0000A51D0000}"/>
    <cellStyle name="Normal 8 3 3 6 3 2" xfId="15012" xr:uid="{61DF74DD-3FB3-4112-A3C6-2AB58B616F53}"/>
    <cellStyle name="Normal 8 3 3 6 4" xfId="10799" xr:uid="{B000B076-6004-440A-903B-1FCC1A0A5F3B}"/>
    <cellStyle name="Normal 8 3 3 7" xfId="2647" xr:uid="{00000000-0005-0000-0000-0000A61D0000}"/>
    <cellStyle name="Normal 8 3 3 7 2" xfId="6930" xr:uid="{00000000-0005-0000-0000-0000A71D0000}"/>
    <cellStyle name="Normal 8 3 3 7 2 2" xfId="15425" xr:uid="{887C23D3-70BD-4AB6-98BA-34639331F309}"/>
    <cellStyle name="Normal 8 3 3 7 3" xfId="11212" xr:uid="{F2BED8B8-1211-4DF3-B549-24506038D528}"/>
    <cellStyle name="Normal 8 3 3 8" xfId="4865" xr:uid="{00000000-0005-0000-0000-0000A81D0000}"/>
    <cellStyle name="Normal 8 3 3 8 2" xfId="13360" xr:uid="{9C9326C4-1A93-4C6D-9F54-870A10B8A1F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920" xr:uid="{2076BF06-8FEF-4DC2-AA99-285C78376F34}"/>
    <cellStyle name="Normal 8 3 4 2 2 3" xfId="11707" xr:uid="{553B0BA1-723C-4643-8870-7CDFA0410BAF}"/>
    <cellStyle name="Normal 8 3 4 2 3" xfId="5280" xr:uid="{00000000-0005-0000-0000-0000AD1D0000}"/>
    <cellStyle name="Normal 8 3 4 2 3 2" xfId="13775" xr:uid="{17D29648-4320-4C3D-8FF2-5D26F4C5D3AA}"/>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2 2 2" xfId="16333" xr:uid="{BF497E3D-360B-4857-A30E-35B7135D7C66}"/>
    <cellStyle name="Normal 8 3 4 3 2 3" xfId="12120" xr:uid="{0EB6332A-18BB-4241-85A5-F7CD220ED325}"/>
    <cellStyle name="Normal 8 3 4 3 3" xfId="5693" xr:uid="{00000000-0005-0000-0000-0000B11D0000}"/>
    <cellStyle name="Normal 8 3 4 3 3 2" xfId="14188" xr:uid="{C1519C85-41E9-4194-9AD6-5CCC714D0A80}"/>
    <cellStyle name="Normal 8 3 4 3 4" xfId="9975" xr:uid="{7C0118B4-DBFC-4434-A172-32FFC1E8A99D}"/>
    <cellStyle name="Normal 8 3 4 4" xfId="1799" xr:uid="{00000000-0005-0000-0000-0000B21D0000}"/>
    <cellStyle name="Normal 8 3 4 4 2" xfId="4029" xr:uid="{00000000-0005-0000-0000-0000B31D0000}"/>
    <cellStyle name="Normal 8 3 4 4 2 2" xfId="8251" xr:uid="{00000000-0005-0000-0000-0000B41D0000}"/>
    <cellStyle name="Normal 8 3 4 4 2 2 2" xfId="16746" xr:uid="{0EB248D2-1AC0-46D7-AB13-3A892B51EF9C}"/>
    <cellStyle name="Normal 8 3 4 4 2 3" xfId="12533" xr:uid="{DD1E50ED-FF56-4117-A83A-7C2391746D14}"/>
    <cellStyle name="Normal 8 3 4 4 3" xfId="6106" xr:uid="{00000000-0005-0000-0000-0000B51D0000}"/>
    <cellStyle name="Normal 8 3 4 4 3 2" xfId="14601" xr:uid="{547516B9-654E-42BD-A803-68195720B3C7}"/>
    <cellStyle name="Normal 8 3 4 4 4" xfId="10388" xr:uid="{207B9AC6-0910-4363-B287-9C96D129A9E2}"/>
    <cellStyle name="Normal 8 3 4 5" xfId="2213" xr:uid="{00000000-0005-0000-0000-0000B61D0000}"/>
    <cellStyle name="Normal 8 3 4 5 2" xfId="4442" xr:uid="{00000000-0005-0000-0000-0000B71D0000}"/>
    <cellStyle name="Normal 8 3 4 5 2 2" xfId="8664" xr:uid="{00000000-0005-0000-0000-0000B81D0000}"/>
    <cellStyle name="Normal 8 3 4 5 2 2 2" xfId="17159" xr:uid="{FD6FB14B-B3FF-41BC-8255-F80E40910816}"/>
    <cellStyle name="Normal 8 3 4 5 2 3" xfId="12946" xr:uid="{45213DFC-6F20-45AE-8A9F-E666C86CE6CB}"/>
    <cellStyle name="Normal 8 3 4 5 3" xfId="6519" xr:uid="{00000000-0005-0000-0000-0000B91D0000}"/>
    <cellStyle name="Normal 8 3 4 5 3 2" xfId="15014" xr:uid="{0AD85FF8-9FD8-4AF4-B783-A34F11AE2A9E}"/>
    <cellStyle name="Normal 8 3 4 5 4" xfId="10801" xr:uid="{01C270B7-2154-4DB6-BF7D-93F9DA806BCD}"/>
    <cellStyle name="Normal 8 3 4 6" xfId="2649" xr:uid="{00000000-0005-0000-0000-0000BA1D0000}"/>
    <cellStyle name="Normal 8 3 4 6 2" xfId="6932" xr:uid="{00000000-0005-0000-0000-0000BB1D0000}"/>
    <cellStyle name="Normal 8 3 4 6 2 2" xfId="15427" xr:uid="{A57A7E67-1DB2-4AF0-B3D7-76D854FE6836}"/>
    <cellStyle name="Normal 8 3 4 6 3" xfId="11214" xr:uid="{9C440837-7A1E-471A-9881-BF8BB0C52B39}"/>
    <cellStyle name="Normal 8 3 4 7" xfId="4867" xr:uid="{00000000-0005-0000-0000-0000BC1D0000}"/>
    <cellStyle name="Normal 8 3 4 7 2" xfId="13362" xr:uid="{8D6D23BE-D343-4C96-B066-064D54AB77BE}"/>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2 2 2" xfId="15913" xr:uid="{3D324038-35B0-41BF-8693-3A48D252341B}"/>
    <cellStyle name="Normal 8 3 5 2 3" xfId="11700" xr:uid="{74A7B258-AA41-4403-A5FA-D929850C5BA0}"/>
    <cellStyle name="Normal 8 3 5 3" xfId="5273" xr:uid="{00000000-0005-0000-0000-0000C01D0000}"/>
    <cellStyle name="Normal 8 3 5 3 2" xfId="13768" xr:uid="{2D6866A7-0A80-4E90-BABE-471D80F78845}"/>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2 2 2" xfId="16326" xr:uid="{FFC15702-794C-4BB8-9906-415167CE78BA}"/>
    <cellStyle name="Normal 8 3 6 2 3" xfId="12113" xr:uid="{F2BC6A38-BD4C-4922-B0E2-0A0BD72DC67C}"/>
    <cellStyle name="Normal 8 3 6 3" xfId="5686" xr:uid="{00000000-0005-0000-0000-0000C41D0000}"/>
    <cellStyle name="Normal 8 3 6 3 2" xfId="14181" xr:uid="{E7057DF7-84D4-42B6-A31B-5845E75A4499}"/>
    <cellStyle name="Normal 8 3 6 4" xfId="9968" xr:uid="{11AA94DA-214B-4E05-9D1A-2BB104C4B754}"/>
    <cellStyle name="Normal 8 3 7" xfId="1792" xr:uid="{00000000-0005-0000-0000-0000C51D0000}"/>
    <cellStyle name="Normal 8 3 7 2" xfId="4022" xr:uid="{00000000-0005-0000-0000-0000C61D0000}"/>
    <cellStyle name="Normal 8 3 7 2 2" xfId="8244" xr:uid="{00000000-0005-0000-0000-0000C71D0000}"/>
    <cellStyle name="Normal 8 3 7 2 2 2" xfId="16739" xr:uid="{AF619B1B-DAE4-44D0-A03E-4DD25E9C3B6A}"/>
    <cellStyle name="Normal 8 3 7 2 3" xfId="12526" xr:uid="{3E63C7C2-2A03-45F5-BA49-DB3C19912E2C}"/>
    <cellStyle name="Normal 8 3 7 3" xfId="6099" xr:uid="{00000000-0005-0000-0000-0000C81D0000}"/>
    <cellStyle name="Normal 8 3 7 3 2" xfId="14594" xr:uid="{992EFEFF-D7B6-49D5-87B9-E061472CCD62}"/>
    <cellStyle name="Normal 8 3 7 4" xfId="10381" xr:uid="{5169AA01-F8C5-4B9A-B916-E20A982FBB50}"/>
    <cellStyle name="Normal 8 3 8" xfId="2206" xr:uid="{00000000-0005-0000-0000-0000C91D0000}"/>
    <cellStyle name="Normal 8 3 8 2" xfId="4435" xr:uid="{00000000-0005-0000-0000-0000CA1D0000}"/>
    <cellStyle name="Normal 8 3 8 2 2" xfId="8657" xr:uid="{00000000-0005-0000-0000-0000CB1D0000}"/>
    <cellStyle name="Normal 8 3 8 2 2 2" xfId="17152" xr:uid="{C157E813-1095-478A-BB3A-58349944D902}"/>
    <cellStyle name="Normal 8 3 8 2 3" xfId="12939" xr:uid="{6BC1F838-CE19-4AC2-AB39-31F1638A4D3C}"/>
    <cellStyle name="Normal 8 3 8 3" xfId="6512" xr:uid="{00000000-0005-0000-0000-0000CC1D0000}"/>
    <cellStyle name="Normal 8 3 8 3 2" xfId="15007" xr:uid="{BDE38BD6-F2E9-41C0-978D-CFCF106CC48C}"/>
    <cellStyle name="Normal 8 3 8 4" xfId="10794" xr:uid="{F4A1063C-5C31-418B-AD66-3CE35EA83A62}"/>
    <cellStyle name="Normal 8 3 9" xfId="2642" xr:uid="{00000000-0005-0000-0000-0000CD1D0000}"/>
    <cellStyle name="Normal 8 3 9 2" xfId="6925" xr:uid="{00000000-0005-0000-0000-0000CE1D0000}"/>
    <cellStyle name="Normal 8 3 9 2 2" xfId="15420" xr:uid="{F1CF56AF-9D6F-4CFF-98D2-1E33520A43CF}"/>
    <cellStyle name="Normal 8 3 9 3" xfId="11207" xr:uid="{274159E1-DA4F-434C-9B46-B7221EE68929}"/>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923" xr:uid="{FFA464BF-09E3-4D78-9166-E28FFC31163B}"/>
    <cellStyle name="Normal 8 4 2 2 2 2 3" xfId="11710" xr:uid="{3C0C970C-8AA6-42C6-91C1-7EEE551EE20B}"/>
    <cellStyle name="Normal 8 4 2 2 2 3" xfId="5283" xr:uid="{00000000-0005-0000-0000-0000D51D0000}"/>
    <cellStyle name="Normal 8 4 2 2 2 3 2" xfId="13778" xr:uid="{6E6CD32E-ED9E-4858-86B6-FDD3BE51E65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336" xr:uid="{F5DFA7E4-CC99-49BA-A2FC-2E9FECD9FA26}"/>
    <cellStyle name="Normal 8 4 2 2 3 2 3" xfId="12123" xr:uid="{8946E3BC-12D2-4B83-9FF5-706C2F1ECE51}"/>
    <cellStyle name="Normal 8 4 2 2 3 3" xfId="5696" xr:uid="{00000000-0005-0000-0000-0000D91D0000}"/>
    <cellStyle name="Normal 8 4 2 2 3 3 2" xfId="14191" xr:uid="{41B6BAE8-3CA0-415F-B3A8-419E8EE91D5A}"/>
    <cellStyle name="Normal 8 4 2 2 3 4" xfId="9978" xr:uid="{A48AF19E-F875-404F-8CDD-4FB2B9E38BF5}"/>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49" xr:uid="{559C7D3F-659B-47CE-B087-5F45D3765939}"/>
    <cellStyle name="Normal 8 4 2 2 4 2 3" xfId="12536" xr:uid="{D0F9FB6B-785E-4455-AB37-AEC8AC6982EF}"/>
    <cellStyle name="Normal 8 4 2 2 4 3" xfId="6109" xr:uid="{00000000-0005-0000-0000-0000DD1D0000}"/>
    <cellStyle name="Normal 8 4 2 2 4 3 2" xfId="14604" xr:uid="{EC6FA9D0-00E1-4257-806B-0617E7FF98A0}"/>
    <cellStyle name="Normal 8 4 2 2 4 4" xfId="10391" xr:uid="{6BEF7938-05C5-442E-BADD-9811CC964CA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62" xr:uid="{05433F08-9B73-42C5-93D3-C748CF299DE5}"/>
    <cellStyle name="Normal 8 4 2 2 5 2 3" xfId="12949" xr:uid="{F3F1970E-4273-4722-A2F6-7934C13A5FD7}"/>
    <cellStyle name="Normal 8 4 2 2 5 3" xfId="6522" xr:uid="{00000000-0005-0000-0000-0000E11D0000}"/>
    <cellStyle name="Normal 8 4 2 2 5 3 2" xfId="15017" xr:uid="{4B056441-E47F-4416-8428-3BE6E3C14DD4}"/>
    <cellStyle name="Normal 8 4 2 2 5 4" xfId="10804" xr:uid="{9867F1EE-F7A9-40C4-90CF-03941448B93D}"/>
    <cellStyle name="Normal 8 4 2 2 6" xfId="2652" xr:uid="{00000000-0005-0000-0000-0000E21D0000}"/>
    <cellStyle name="Normal 8 4 2 2 6 2" xfId="6935" xr:uid="{00000000-0005-0000-0000-0000E31D0000}"/>
    <cellStyle name="Normal 8 4 2 2 6 2 2" xfId="15430" xr:uid="{BFA8673B-3760-4C9E-8AEE-5B085C0C8CF2}"/>
    <cellStyle name="Normal 8 4 2 2 6 3" xfId="11217" xr:uid="{5D6AF29F-AAA1-460A-B391-21DD0E5E56DF}"/>
    <cellStyle name="Normal 8 4 2 2 7" xfId="4870" xr:uid="{00000000-0005-0000-0000-0000E41D0000}"/>
    <cellStyle name="Normal 8 4 2 2 7 2" xfId="13365" xr:uid="{973FFBDD-65A5-41D9-8DE6-A1759FCC3142}"/>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2 2 2" xfId="15922" xr:uid="{BB200C47-832D-4A95-A0A6-FD816EEEEA76}"/>
    <cellStyle name="Normal 8 4 2 3 2 3" xfId="11709" xr:uid="{E16B860E-21A2-4A79-AEC6-A0524DF1911C}"/>
    <cellStyle name="Normal 8 4 2 3 3" xfId="5282" xr:uid="{00000000-0005-0000-0000-0000E81D0000}"/>
    <cellStyle name="Normal 8 4 2 3 3 2" xfId="13777" xr:uid="{19A0C31F-CBE4-422B-9E57-41B7F983D679}"/>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2 2 2" xfId="16335" xr:uid="{85219104-3B54-476C-B6E2-062395599924}"/>
    <cellStyle name="Normal 8 4 2 4 2 3" xfId="12122" xr:uid="{DFC5E971-643E-4E22-A36E-4F4621DBA0E5}"/>
    <cellStyle name="Normal 8 4 2 4 3" xfId="5695" xr:uid="{00000000-0005-0000-0000-0000EC1D0000}"/>
    <cellStyle name="Normal 8 4 2 4 3 2" xfId="14190" xr:uid="{3B23996A-2117-494C-AA32-94AE69BE774E}"/>
    <cellStyle name="Normal 8 4 2 4 4" xfId="9977" xr:uid="{1792AAB1-9E27-4A2E-91B0-3E1F726C03FC}"/>
    <cellStyle name="Normal 8 4 2 5" xfId="1801" xr:uid="{00000000-0005-0000-0000-0000ED1D0000}"/>
    <cellStyle name="Normal 8 4 2 5 2" xfId="4031" xr:uid="{00000000-0005-0000-0000-0000EE1D0000}"/>
    <cellStyle name="Normal 8 4 2 5 2 2" xfId="8253" xr:uid="{00000000-0005-0000-0000-0000EF1D0000}"/>
    <cellStyle name="Normal 8 4 2 5 2 2 2" xfId="16748" xr:uid="{6A05C015-6E41-4B66-8F8D-C7DA76BB9F0C}"/>
    <cellStyle name="Normal 8 4 2 5 2 3" xfId="12535" xr:uid="{3757A188-8282-4C01-A8F9-84B6DBB11296}"/>
    <cellStyle name="Normal 8 4 2 5 3" xfId="6108" xr:uid="{00000000-0005-0000-0000-0000F01D0000}"/>
    <cellStyle name="Normal 8 4 2 5 3 2" xfId="14603" xr:uid="{E6C70C21-3E19-4E68-8D38-9CDC1E305A5B}"/>
    <cellStyle name="Normal 8 4 2 5 4" xfId="10390" xr:uid="{9A07E614-06C8-4AC2-A6CA-3E77913FA590}"/>
    <cellStyle name="Normal 8 4 2 6" xfId="2215" xr:uid="{00000000-0005-0000-0000-0000F11D0000}"/>
    <cellStyle name="Normal 8 4 2 6 2" xfId="4444" xr:uid="{00000000-0005-0000-0000-0000F21D0000}"/>
    <cellStyle name="Normal 8 4 2 6 2 2" xfId="8666" xr:uid="{00000000-0005-0000-0000-0000F31D0000}"/>
    <cellStyle name="Normal 8 4 2 6 2 2 2" xfId="17161" xr:uid="{E8F5CAAA-FC94-4B13-8220-8AAE63F98565}"/>
    <cellStyle name="Normal 8 4 2 6 2 3" xfId="12948" xr:uid="{EF2854DE-03A7-4BED-8BB9-1415FA00F084}"/>
    <cellStyle name="Normal 8 4 2 6 3" xfId="6521" xr:uid="{00000000-0005-0000-0000-0000F41D0000}"/>
    <cellStyle name="Normal 8 4 2 6 3 2" xfId="15016" xr:uid="{823B9989-6B6D-4359-8F13-378A922CF6C8}"/>
    <cellStyle name="Normal 8 4 2 6 4" xfId="10803" xr:uid="{A1543786-AF54-47A3-BA73-42CCFC90637D}"/>
    <cellStyle name="Normal 8 4 2 7" xfId="2651" xr:uid="{00000000-0005-0000-0000-0000F51D0000}"/>
    <cellStyle name="Normal 8 4 2 7 2" xfId="6934" xr:uid="{00000000-0005-0000-0000-0000F61D0000}"/>
    <cellStyle name="Normal 8 4 2 7 2 2" xfId="15429" xr:uid="{714B0F3B-BA30-4BA2-8662-60158E6E3265}"/>
    <cellStyle name="Normal 8 4 2 7 3" xfId="11216" xr:uid="{6DD849F3-76A2-4BF2-85D3-66113C33FDE5}"/>
    <cellStyle name="Normal 8 4 2 8" xfId="4869" xr:uid="{00000000-0005-0000-0000-0000F71D0000}"/>
    <cellStyle name="Normal 8 4 2 8 2" xfId="13364" xr:uid="{DF703F48-5DDE-4CF5-8DED-2F8B5CAA8674}"/>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924" xr:uid="{2D211F20-4FAC-4BD9-8328-A1CC92930C2B}"/>
    <cellStyle name="Normal 8 4 3 2 2 3" xfId="11711" xr:uid="{D0A5D356-551C-4370-B506-2EDEF510A3EC}"/>
    <cellStyle name="Normal 8 4 3 2 3" xfId="5284" xr:uid="{00000000-0005-0000-0000-0000FC1D0000}"/>
    <cellStyle name="Normal 8 4 3 2 3 2" xfId="13779" xr:uid="{F99DC42B-BAD7-45C3-BBAA-F8648CA4AF2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2 2 2" xfId="16337" xr:uid="{6539838F-74BD-4517-B0E3-9554C3ED52B1}"/>
    <cellStyle name="Normal 8 4 3 3 2 3" xfId="12124" xr:uid="{F2D46CF4-3189-4474-B89D-6B5E643AE81F}"/>
    <cellStyle name="Normal 8 4 3 3 3" xfId="5697" xr:uid="{00000000-0005-0000-0000-0000001E0000}"/>
    <cellStyle name="Normal 8 4 3 3 3 2" xfId="14192" xr:uid="{EC7B7772-FD8E-4CE2-A196-D37F7E6CB2E1}"/>
    <cellStyle name="Normal 8 4 3 3 4" xfId="9979" xr:uid="{10C643FF-9380-48F1-A924-0B0931516C05}"/>
    <cellStyle name="Normal 8 4 3 4" xfId="1803" xr:uid="{00000000-0005-0000-0000-0000011E0000}"/>
    <cellStyle name="Normal 8 4 3 4 2" xfId="4033" xr:uid="{00000000-0005-0000-0000-0000021E0000}"/>
    <cellStyle name="Normal 8 4 3 4 2 2" xfId="8255" xr:uid="{00000000-0005-0000-0000-0000031E0000}"/>
    <cellStyle name="Normal 8 4 3 4 2 2 2" xfId="16750" xr:uid="{F31BA1ED-4AEC-4CA2-B035-D3BB0EB7AB5D}"/>
    <cellStyle name="Normal 8 4 3 4 2 3" xfId="12537" xr:uid="{54B5C31B-0AC7-4EB0-86A4-B9B91504C291}"/>
    <cellStyle name="Normal 8 4 3 4 3" xfId="6110" xr:uid="{00000000-0005-0000-0000-0000041E0000}"/>
    <cellStyle name="Normal 8 4 3 4 3 2" xfId="14605" xr:uid="{31A78DFC-7DA2-4A30-A4C2-A556D43C81BE}"/>
    <cellStyle name="Normal 8 4 3 4 4" xfId="10392" xr:uid="{2F6B438E-F7F3-45BD-98D9-60BA0D415EB2}"/>
    <cellStyle name="Normal 8 4 3 5" xfId="2217" xr:uid="{00000000-0005-0000-0000-0000051E0000}"/>
    <cellStyle name="Normal 8 4 3 5 2" xfId="4446" xr:uid="{00000000-0005-0000-0000-0000061E0000}"/>
    <cellStyle name="Normal 8 4 3 5 2 2" xfId="8668" xr:uid="{00000000-0005-0000-0000-0000071E0000}"/>
    <cellStyle name="Normal 8 4 3 5 2 2 2" xfId="17163" xr:uid="{6B57E707-6F4E-462E-87A5-F0963E1D6D47}"/>
    <cellStyle name="Normal 8 4 3 5 2 3" xfId="12950" xr:uid="{E0C73B38-1863-4C97-86DE-F6C9CD33FD02}"/>
    <cellStyle name="Normal 8 4 3 5 3" xfId="6523" xr:uid="{00000000-0005-0000-0000-0000081E0000}"/>
    <cellStyle name="Normal 8 4 3 5 3 2" xfId="15018" xr:uid="{CDEE8967-1997-4083-B679-2852BE4B6009}"/>
    <cellStyle name="Normal 8 4 3 5 4" xfId="10805" xr:uid="{758B6A2E-E6BF-4230-ADEC-C2C11CC6FB75}"/>
    <cellStyle name="Normal 8 4 3 6" xfId="2653" xr:uid="{00000000-0005-0000-0000-0000091E0000}"/>
    <cellStyle name="Normal 8 4 3 6 2" xfId="6936" xr:uid="{00000000-0005-0000-0000-00000A1E0000}"/>
    <cellStyle name="Normal 8 4 3 6 2 2" xfId="15431" xr:uid="{F3D41A0E-FD45-4A78-9C14-233C08EDB3DE}"/>
    <cellStyle name="Normal 8 4 3 6 3" xfId="11218" xr:uid="{512521B2-D7BB-412A-AB1A-19D39D314505}"/>
    <cellStyle name="Normal 8 4 3 7" xfId="4871" xr:uid="{00000000-0005-0000-0000-00000B1E0000}"/>
    <cellStyle name="Normal 8 4 3 7 2" xfId="13366" xr:uid="{26C80B86-324C-42D5-9543-354B41C635EB}"/>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2 2 2" xfId="15921" xr:uid="{71611F74-34E5-4679-A348-5BDC80EEF5BE}"/>
    <cellStyle name="Normal 8 4 4 2 3" xfId="11708" xr:uid="{E510320F-AB86-4D50-A525-A942A67DEE05}"/>
    <cellStyle name="Normal 8 4 4 3" xfId="5281" xr:uid="{00000000-0005-0000-0000-00000F1E0000}"/>
    <cellStyle name="Normal 8 4 4 3 2" xfId="13776" xr:uid="{7FFA1FBE-8C99-4338-9F05-2741DB82BAB8}"/>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2 2 2" xfId="16334" xr:uid="{1481AAB5-7BF6-47E9-B89D-74BD98E50B7B}"/>
    <cellStyle name="Normal 8 4 5 2 3" xfId="12121" xr:uid="{7EE2E64B-8B60-4503-B79A-7BC92C658968}"/>
    <cellStyle name="Normal 8 4 5 3" xfId="5694" xr:uid="{00000000-0005-0000-0000-0000131E0000}"/>
    <cellStyle name="Normal 8 4 5 3 2" xfId="14189" xr:uid="{1B54BB48-BE53-43AB-8309-1A493473CBAF}"/>
    <cellStyle name="Normal 8 4 5 4" xfId="9976" xr:uid="{F10518A0-31BA-4E62-93F2-E1AB6E072901}"/>
    <cellStyle name="Normal 8 4 6" xfId="1800" xr:uid="{00000000-0005-0000-0000-0000141E0000}"/>
    <cellStyle name="Normal 8 4 6 2" xfId="4030" xr:uid="{00000000-0005-0000-0000-0000151E0000}"/>
    <cellStyle name="Normal 8 4 6 2 2" xfId="8252" xr:uid="{00000000-0005-0000-0000-0000161E0000}"/>
    <cellStyle name="Normal 8 4 6 2 2 2" xfId="16747" xr:uid="{7479A9CC-0AE7-49E8-BC55-B8B8756DB6ED}"/>
    <cellStyle name="Normal 8 4 6 2 3" xfId="12534" xr:uid="{22ED7929-39A9-4AF8-82C6-468F71F23898}"/>
    <cellStyle name="Normal 8 4 6 3" xfId="6107" xr:uid="{00000000-0005-0000-0000-0000171E0000}"/>
    <cellStyle name="Normal 8 4 6 3 2" xfId="14602" xr:uid="{D9A2A9D7-897C-4C8D-8661-6EC82F9D4DEE}"/>
    <cellStyle name="Normal 8 4 6 4" xfId="10389" xr:uid="{E3783F8D-6F90-4AFE-8BED-976483435608}"/>
    <cellStyle name="Normal 8 4 7" xfId="2214" xr:uid="{00000000-0005-0000-0000-0000181E0000}"/>
    <cellStyle name="Normal 8 4 7 2" xfId="4443" xr:uid="{00000000-0005-0000-0000-0000191E0000}"/>
    <cellStyle name="Normal 8 4 7 2 2" xfId="8665" xr:uid="{00000000-0005-0000-0000-00001A1E0000}"/>
    <cellStyle name="Normal 8 4 7 2 2 2" xfId="17160" xr:uid="{E82ABE3B-FA9C-4775-A024-CEBC4629F6FE}"/>
    <cellStyle name="Normal 8 4 7 2 3" xfId="12947" xr:uid="{9EB3D375-F87B-4CB8-B9A0-97E8762BA2AC}"/>
    <cellStyle name="Normal 8 4 7 3" xfId="6520" xr:uid="{00000000-0005-0000-0000-00001B1E0000}"/>
    <cellStyle name="Normal 8 4 7 3 2" xfId="15015" xr:uid="{DE897F4E-D64C-43AB-BFF4-734699D30D3C}"/>
    <cellStyle name="Normal 8 4 7 4" xfId="10802" xr:uid="{DA10FDF8-61EC-4671-BFD6-9A17D430CF82}"/>
    <cellStyle name="Normal 8 4 8" xfId="2650" xr:uid="{00000000-0005-0000-0000-00001C1E0000}"/>
    <cellStyle name="Normal 8 4 8 2" xfId="6933" xr:uid="{00000000-0005-0000-0000-00001D1E0000}"/>
    <cellStyle name="Normal 8 4 8 2 2" xfId="15428" xr:uid="{4D89E893-A4C4-4414-A2A1-FC0A6B31D328}"/>
    <cellStyle name="Normal 8 4 8 3" xfId="11215" xr:uid="{3A25B097-F241-4048-83D6-02C485A4F7E4}"/>
    <cellStyle name="Normal 8 4 9" xfId="4868" xr:uid="{00000000-0005-0000-0000-00001E1E0000}"/>
    <cellStyle name="Normal 8 4 9 2" xfId="13363" xr:uid="{55403E45-3076-4502-A4D6-DFB757D66122}"/>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926" xr:uid="{8F0CDC05-2ACD-4EED-9016-85A73C4B8F5A}"/>
    <cellStyle name="Normal 8 5 2 2 2 3" xfId="11713" xr:uid="{497E4333-7C82-462A-B82F-E8F61301F8B2}"/>
    <cellStyle name="Normal 8 5 2 2 3" xfId="5286" xr:uid="{00000000-0005-0000-0000-0000241E0000}"/>
    <cellStyle name="Normal 8 5 2 2 3 2" xfId="13781" xr:uid="{117906F9-B603-45ED-BA62-15544C535146}"/>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2 2 2" xfId="16339" xr:uid="{6AB2D9B1-03C4-48CC-BA61-5F7D3996F0EE}"/>
    <cellStyle name="Normal 8 5 2 3 2 3" xfId="12126" xr:uid="{E73C69A1-2719-4100-9C38-C51D1C5318E0}"/>
    <cellStyle name="Normal 8 5 2 3 3" xfId="5699" xr:uid="{00000000-0005-0000-0000-0000281E0000}"/>
    <cellStyle name="Normal 8 5 2 3 3 2" xfId="14194" xr:uid="{4E8A786C-E3E6-437B-AB57-CA15A997B613}"/>
    <cellStyle name="Normal 8 5 2 3 4" xfId="9981" xr:uid="{9B2B59E0-1F61-4295-BCC1-0536098A764D}"/>
    <cellStyle name="Normal 8 5 2 4" xfId="1805" xr:uid="{00000000-0005-0000-0000-0000291E0000}"/>
    <cellStyle name="Normal 8 5 2 4 2" xfId="4035" xr:uid="{00000000-0005-0000-0000-00002A1E0000}"/>
    <cellStyle name="Normal 8 5 2 4 2 2" xfId="8257" xr:uid="{00000000-0005-0000-0000-00002B1E0000}"/>
    <cellStyle name="Normal 8 5 2 4 2 2 2" xfId="16752" xr:uid="{60019BF4-EBF9-4E96-B131-48ABA754BB90}"/>
    <cellStyle name="Normal 8 5 2 4 2 3" xfId="12539" xr:uid="{459F00B5-B83C-466E-B94F-33B2695A326C}"/>
    <cellStyle name="Normal 8 5 2 4 3" xfId="6112" xr:uid="{00000000-0005-0000-0000-00002C1E0000}"/>
    <cellStyle name="Normal 8 5 2 4 3 2" xfId="14607" xr:uid="{87C34A35-1B5E-4CDB-9A21-48B8E367FD69}"/>
    <cellStyle name="Normal 8 5 2 4 4" xfId="10394" xr:uid="{A0AE8F3A-F7EF-4328-A0FA-5CB028A86C7E}"/>
    <cellStyle name="Normal 8 5 2 5" xfId="2219" xr:uid="{00000000-0005-0000-0000-00002D1E0000}"/>
    <cellStyle name="Normal 8 5 2 5 2" xfId="4448" xr:uid="{00000000-0005-0000-0000-00002E1E0000}"/>
    <cellStyle name="Normal 8 5 2 5 2 2" xfId="8670" xr:uid="{00000000-0005-0000-0000-00002F1E0000}"/>
    <cellStyle name="Normal 8 5 2 5 2 2 2" xfId="17165" xr:uid="{CE7B8C3D-B03C-4F2B-B19A-FF06141AAA6C}"/>
    <cellStyle name="Normal 8 5 2 5 2 3" xfId="12952" xr:uid="{FFDF3578-A7DC-4C6D-9510-1C73317A363E}"/>
    <cellStyle name="Normal 8 5 2 5 3" xfId="6525" xr:uid="{00000000-0005-0000-0000-0000301E0000}"/>
    <cellStyle name="Normal 8 5 2 5 3 2" xfId="15020" xr:uid="{05D5C0FE-CD04-4AD4-9580-A74ABDD01304}"/>
    <cellStyle name="Normal 8 5 2 5 4" xfId="10807" xr:uid="{C7368099-F33F-4A79-B676-2B131F96E39B}"/>
    <cellStyle name="Normal 8 5 2 6" xfId="2655" xr:uid="{00000000-0005-0000-0000-0000311E0000}"/>
    <cellStyle name="Normal 8 5 2 6 2" xfId="6938" xr:uid="{00000000-0005-0000-0000-0000321E0000}"/>
    <cellStyle name="Normal 8 5 2 6 2 2" xfId="15433" xr:uid="{E0D0531E-61F9-43E2-B902-083CD163BC49}"/>
    <cellStyle name="Normal 8 5 2 6 3" xfId="11220" xr:uid="{36F7EDFA-0134-4CF3-BBD4-4EB4DE29345F}"/>
    <cellStyle name="Normal 8 5 2 7" xfId="4873" xr:uid="{00000000-0005-0000-0000-0000331E0000}"/>
    <cellStyle name="Normal 8 5 2 7 2" xfId="13368" xr:uid="{17DC8C00-7442-4C4A-932D-DBF654AD83E8}"/>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2 2 2" xfId="15925" xr:uid="{9B39035B-99E7-49F6-9268-17CA4DB138C2}"/>
    <cellStyle name="Normal 8 5 3 2 3" xfId="11712" xr:uid="{66146111-30D4-439E-B80F-DD2E403370DF}"/>
    <cellStyle name="Normal 8 5 3 3" xfId="5285" xr:uid="{00000000-0005-0000-0000-0000371E0000}"/>
    <cellStyle name="Normal 8 5 3 3 2" xfId="13780" xr:uid="{A68F7CDA-C412-48DE-A95E-A01751A793A7}"/>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2 2 2" xfId="16338" xr:uid="{FD770C83-D2C4-4448-93DE-31407663FAD0}"/>
    <cellStyle name="Normal 8 5 4 2 3" xfId="12125" xr:uid="{85D9B1B8-C87D-430E-AC60-9D36916D5F66}"/>
    <cellStyle name="Normal 8 5 4 3" xfId="5698" xr:uid="{00000000-0005-0000-0000-00003B1E0000}"/>
    <cellStyle name="Normal 8 5 4 3 2" xfId="14193" xr:uid="{9A58E896-20BB-4424-A33B-52C2F97B20EA}"/>
    <cellStyle name="Normal 8 5 4 4" xfId="9980" xr:uid="{B70BDA99-07C7-4C85-8981-0858096EC069}"/>
    <cellStyle name="Normal 8 5 5" xfId="1804" xr:uid="{00000000-0005-0000-0000-00003C1E0000}"/>
    <cellStyle name="Normal 8 5 5 2" xfId="4034" xr:uid="{00000000-0005-0000-0000-00003D1E0000}"/>
    <cellStyle name="Normal 8 5 5 2 2" xfId="8256" xr:uid="{00000000-0005-0000-0000-00003E1E0000}"/>
    <cellStyle name="Normal 8 5 5 2 2 2" xfId="16751" xr:uid="{FC1AEA08-A360-4BD3-8656-E0C75FF7041C}"/>
    <cellStyle name="Normal 8 5 5 2 3" xfId="12538" xr:uid="{3F00848E-8768-46A7-AC0C-C220F2C6C6FC}"/>
    <cellStyle name="Normal 8 5 5 3" xfId="6111" xr:uid="{00000000-0005-0000-0000-00003F1E0000}"/>
    <cellStyle name="Normal 8 5 5 3 2" xfId="14606" xr:uid="{E3892E6E-9F59-4A00-A6D4-5F5066CA0C17}"/>
    <cellStyle name="Normal 8 5 5 4" xfId="10393" xr:uid="{05E26D44-21D4-4F10-9F3F-C96D5544DAAA}"/>
    <cellStyle name="Normal 8 5 6" xfId="2218" xr:uid="{00000000-0005-0000-0000-0000401E0000}"/>
    <cellStyle name="Normal 8 5 6 2" xfId="4447" xr:uid="{00000000-0005-0000-0000-0000411E0000}"/>
    <cellStyle name="Normal 8 5 6 2 2" xfId="8669" xr:uid="{00000000-0005-0000-0000-0000421E0000}"/>
    <cellStyle name="Normal 8 5 6 2 2 2" xfId="17164" xr:uid="{1595C0D0-24BF-4008-958C-4ECD147F7DB8}"/>
    <cellStyle name="Normal 8 5 6 2 3" xfId="12951" xr:uid="{398C166A-96BF-47F7-8912-AC32A3CC7775}"/>
    <cellStyle name="Normal 8 5 6 3" xfId="6524" xr:uid="{00000000-0005-0000-0000-0000431E0000}"/>
    <cellStyle name="Normal 8 5 6 3 2" xfId="15019" xr:uid="{5D6E7ED4-2264-4D01-AA6F-5E28C99FC423}"/>
    <cellStyle name="Normal 8 5 6 4" xfId="10806" xr:uid="{039CBC79-A30E-411E-8E45-A5730C7A7ACD}"/>
    <cellStyle name="Normal 8 5 7" xfId="2654" xr:uid="{00000000-0005-0000-0000-0000441E0000}"/>
    <cellStyle name="Normal 8 5 7 2" xfId="6937" xr:uid="{00000000-0005-0000-0000-0000451E0000}"/>
    <cellStyle name="Normal 8 5 7 2 2" xfId="15432" xr:uid="{EB1B864D-77EE-499C-9DEC-753C3CE6226B}"/>
    <cellStyle name="Normal 8 5 7 3" xfId="11219" xr:uid="{DB07091A-F283-45A4-87F0-E0F6348D1D2A}"/>
    <cellStyle name="Normal 8 5 8" xfId="4872" xr:uid="{00000000-0005-0000-0000-0000461E0000}"/>
    <cellStyle name="Normal 8 5 8 2" xfId="13367" xr:uid="{D1421147-D9BD-4CD5-9DD0-EC4028BE6B39}"/>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927" xr:uid="{8377C7DD-9AA2-4068-91F0-BC1C80F13B9A}"/>
    <cellStyle name="Normal 8 6 2 2 3" xfId="11714" xr:uid="{ECDC98E5-B8C4-4A46-BE48-F0ED509C3751}"/>
    <cellStyle name="Normal 8 6 2 3" xfId="5287" xr:uid="{00000000-0005-0000-0000-00004B1E0000}"/>
    <cellStyle name="Normal 8 6 2 3 2" xfId="13782" xr:uid="{ED1E84E6-2346-445B-9570-EF51D8EDCBED}"/>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2 2 2" xfId="16340" xr:uid="{CB80FAF8-C35B-4CFD-AB9D-54989A9F08D7}"/>
    <cellStyle name="Normal 8 6 3 2 3" xfId="12127" xr:uid="{1B010E2B-DD6F-4700-9FBE-E53D17B274B8}"/>
    <cellStyle name="Normal 8 6 3 3" xfId="5700" xr:uid="{00000000-0005-0000-0000-00004F1E0000}"/>
    <cellStyle name="Normal 8 6 3 3 2" xfId="14195" xr:uid="{B04DBF60-AB93-46CD-9617-4584BF6FBD4C}"/>
    <cellStyle name="Normal 8 6 3 4" xfId="9982" xr:uid="{8CF54034-C267-414D-9A97-1DFD8F8BF160}"/>
    <cellStyle name="Normal 8 6 4" xfId="1806" xr:uid="{00000000-0005-0000-0000-0000501E0000}"/>
    <cellStyle name="Normal 8 6 4 2" xfId="4036" xr:uid="{00000000-0005-0000-0000-0000511E0000}"/>
    <cellStyle name="Normal 8 6 4 2 2" xfId="8258" xr:uid="{00000000-0005-0000-0000-0000521E0000}"/>
    <cellStyle name="Normal 8 6 4 2 2 2" xfId="16753" xr:uid="{E397AB3E-EE07-490A-AAC7-40AB1256A01A}"/>
    <cellStyle name="Normal 8 6 4 2 3" xfId="12540" xr:uid="{626EC9DA-75A9-4FF3-92F5-42FFB6292F87}"/>
    <cellStyle name="Normal 8 6 4 3" xfId="6113" xr:uid="{00000000-0005-0000-0000-0000531E0000}"/>
    <cellStyle name="Normal 8 6 4 3 2" xfId="14608" xr:uid="{6623E62B-69C8-4373-8E5C-9274BBF99B0E}"/>
    <cellStyle name="Normal 8 6 4 4" xfId="10395" xr:uid="{84962AD0-B9AF-4F01-B70B-CBCFEE3EA701}"/>
    <cellStyle name="Normal 8 6 5" xfId="2220" xr:uid="{00000000-0005-0000-0000-0000541E0000}"/>
    <cellStyle name="Normal 8 6 5 2" xfId="4449" xr:uid="{00000000-0005-0000-0000-0000551E0000}"/>
    <cellStyle name="Normal 8 6 5 2 2" xfId="8671" xr:uid="{00000000-0005-0000-0000-0000561E0000}"/>
    <cellStyle name="Normal 8 6 5 2 2 2" xfId="17166" xr:uid="{9B02450B-3AB5-46AC-AD19-FEEC6FDD80D8}"/>
    <cellStyle name="Normal 8 6 5 2 3" xfId="12953" xr:uid="{6407B5A3-E69B-4DCE-8FFC-6354B3C40703}"/>
    <cellStyle name="Normal 8 6 5 3" xfId="6526" xr:uid="{00000000-0005-0000-0000-0000571E0000}"/>
    <cellStyle name="Normal 8 6 5 3 2" xfId="15021" xr:uid="{B306D07F-9581-4945-9E38-78C671C8F406}"/>
    <cellStyle name="Normal 8 6 5 4" xfId="10808" xr:uid="{E519F05E-D149-4209-A126-DF9BE655FCA3}"/>
    <cellStyle name="Normal 8 6 6" xfId="2656" xr:uid="{00000000-0005-0000-0000-0000581E0000}"/>
    <cellStyle name="Normal 8 6 6 2" xfId="6939" xr:uid="{00000000-0005-0000-0000-0000591E0000}"/>
    <cellStyle name="Normal 8 6 6 2 2" xfId="15434" xr:uid="{40D42408-85A3-446B-AF5B-BAC79AB999B3}"/>
    <cellStyle name="Normal 8 6 6 3" xfId="11221" xr:uid="{E7FE6B51-260B-4AE4-AAF4-F3832F3E9B72}"/>
    <cellStyle name="Normal 8 6 7" xfId="4874" xr:uid="{00000000-0005-0000-0000-00005A1E0000}"/>
    <cellStyle name="Normal 8 6 7 2" xfId="13369" xr:uid="{B50DA6C6-408B-4280-9468-16CA6A01DA6F}"/>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2 2 2" xfId="15896" xr:uid="{EF0968AD-6D53-4846-95EB-DA64EB55BB24}"/>
    <cellStyle name="Normal 8 7 2 3" xfId="11683" xr:uid="{0026EE5C-F962-4BD7-9F2D-39D0E99DA153}"/>
    <cellStyle name="Normal 8 7 3" xfId="5256" xr:uid="{00000000-0005-0000-0000-00005E1E0000}"/>
    <cellStyle name="Normal 8 7 3 2" xfId="13751" xr:uid="{A9D06D06-A9EB-4C2B-9FFC-57BD2E12399E}"/>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2 2 2" xfId="16309" xr:uid="{C3527EF1-A098-486E-B045-14BC543BC49D}"/>
    <cellStyle name="Normal 8 8 2 3" xfId="12096" xr:uid="{99129D83-3AE9-45EA-9C55-8A72E3B885BA}"/>
    <cellStyle name="Normal 8 8 3" xfId="5669" xr:uid="{00000000-0005-0000-0000-0000621E0000}"/>
    <cellStyle name="Normal 8 8 3 2" xfId="14164" xr:uid="{F91721D8-6D75-4576-A9BB-EB024FA01E5E}"/>
    <cellStyle name="Normal 8 8 4" xfId="9951" xr:uid="{61D2BB3A-4CFB-4C5E-9F0A-052135B51503}"/>
    <cellStyle name="Normal 8 9" xfId="1775" xr:uid="{00000000-0005-0000-0000-0000631E0000}"/>
    <cellStyle name="Normal 8 9 2" xfId="4005" xr:uid="{00000000-0005-0000-0000-0000641E0000}"/>
    <cellStyle name="Normal 8 9 2 2" xfId="8227" xr:uid="{00000000-0005-0000-0000-0000651E0000}"/>
    <cellStyle name="Normal 8 9 2 2 2" xfId="16722" xr:uid="{B7EB39D4-4F09-4633-B327-840BCB2C4B9A}"/>
    <cellStyle name="Normal 8 9 2 3" xfId="12509" xr:uid="{CC2974CB-0E4C-49D9-88E4-6B750CB4271E}"/>
    <cellStyle name="Normal 8 9 3" xfId="6082" xr:uid="{00000000-0005-0000-0000-0000661E0000}"/>
    <cellStyle name="Normal 8 9 3 2" xfId="14577" xr:uid="{4628D2F1-E4C2-4110-91C2-9637F6DB2CA2}"/>
    <cellStyle name="Normal 8 9 4" xfId="10364" xr:uid="{AB0ED778-CCA0-440B-9C9E-493A99BA0E48}"/>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435" xr:uid="{E00221D3-7DA7-475B-B19A-9A5D4C906C68}"/>
    <cellStyle name="Normal 9 2 10 3" xfId="11222" xr:uid="{030756C9-49E2-422E-937B-7AEB81951081}"/>
    <cellStyle name="Normal 9 2 11" xfId="4875" xr:uid="{00000000-0005-0000-0000-00006B1E0000}"/>
    <cellStyle name="Normal 9 2 11 2" xfId="13370" xr:uid="{6E662EE0-A82A-4F2B-94E8-3DDB97B02639}"/>
    <cellStyle name="Normal 9 2 12" xfId="8754" xr:uid="{9024D06A-4C5F-4C89-BCDB-29B8C924FF52}"/>
    <cellStyle name="Normal 9 2 2" xfId="512" xr:uid="{00000000-0005-0000-0000-00006C1E0000}"/>
    <cellStyle name="Normal 9 2 2 10" xfId="4876" xr:uid="{00000000-0005-0000-0000-00006D1E0000}"/>
    <cellStyle name="Normal 9 2 2 10 2" xfId="13371" xr:uid="{3283AE03-EDBC-44B3-A65F-CA39F55EE20D}"/>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932" xr:uid="{2F6E547F-445D-4B0D-9F72-B956B1BFA0F8}"/>
    <cellStyle name="Normal 9 2 2 2 2 2 2 2 3" xfId="11719" xr:uid="{57AEF4EC-C749-4170-9EA5-D124EC30CFA1}"/>
    <cellStyle name="Normal 9 2 2 2 2 2 2 3" xfId="5292" xr:uid="{00000000-0005-0000-0000-0000741E0000}"/>
    <cellStyle name="Normal 9 2 2 2 2 2 2 3 2" xfId="13787" xr:uid="{92B65351-B760-44E9-A88E-FA13C7B7AE7D}"/>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45" xr:uid="{F7A65A16-4368-454C-854F-A96F732DC60E}"/>
    <cellStyle name="Normal 9 2 2 2 2 2 3 2 3" xfId="12132" xr:uid="{98C25AE7-B37E-482F-96A0-2868F27A1581}"/>
    <cellStyle name="Normal 9 2 2 2 2 2 3 3" xfId="5705" xr:uid="{00000000-0005-0000-0000-0000781E0000}"/>
    <cellStyle name="Normal 9 2 2 2 2 2 3 3 2" xfId="14200" xr:uid="{D4A7B5AE-392A-4DCF-AD68-43D1FF44D3EB}"/>
    <cellStyle name="Normal 9 2 2 2 2 2 3 4" xfId="9987" xr:uid="{73486AE5-BDA7-446C-B93C-B19D556738EB}"/>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58" xr:uid="{16248039-404D-4E97-B6A4-3FB893B3114A}"/>
    <cellStyle name="Normal 9 2 2 2 2 2 4 2 3" xfId="12545" xr:uid="{656D950D-8128-45A9-8E7D-806799BCFB82}"/>
    <cellStyle name="Normal 9 2 2 2 2 2 4 3" xfId="6118" xr:uid="{00000000-0005-0000-0000-00007C1E0000}"/>
    <cellStyle name="Normal 9 2 2 2 2 2 4 3 2" xfId="14613" xr:uid="{13AD98EE-783C-4E3D-850B-19A3548639C0}"/>
    <cellStyle name="Normal 9 2 2 2 2 2 4 4" xfId="10400" xr:uid="{7365F25E-6C5A-4EA5-9510-5B475483B884}"/>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71" xr:uid="{8C1E0F27-9B5E-4F21-BB46-4B0FB67AE327}"/>
    <cellStyle name="Normal 9 2 2 2 2 2 5 2 3" xfId="12958" xr:uid="{25AD79DC-1C77-4BB4-A260-D93344D2D59C}"/>
    <cellStyle name="Normal 9 2 2 2 2 2 5 3" xfId="6531" xr:uid="{00000000-0005-0000-0000-0000801E0000}"/>
    <cellStyle name="Normal 9 2 2 2 2 2 5 3 2" xfId="15026" xr:uid="{5CEB9BF5-E0F2-4AA8-BCEB-B336FF8D7514}"/>
    <cellStyle name="Normal 9 2 2 2 2 2 5 4" xfId="10813" xr:uid="{D83EC625-1908-4D89-A46D-C860B664B5F4}"/>
    <cellStyle name="Normal 9 2 2 2 2 2 6" xfId="2661" xr:uid="{00000000-0005-0000-0000-0000811E0000}"/>
    <cellStyle name="Normal 9 2 2 2 2 2 6 2" xfId="6944" xr:uid="{00000000-0005-0000-0000-0000821E0000}"/>
    <cellStyle name="Normal 9 2 2 2 2 2 6 2 2" xfId="15439" xr:uid="{E84A09D9-FCBB-48EB-BD70-44EB4DE471D5}"/>
    <cellStyle name="Normal 9 2 2 2 2 2 6 3" xfId="11226" xr:uid="{ACD927A4-B685-4965-A433-6B6BE20D2A58}"/>
    <cellStyle name="Normal 9 2 2 2 2 2 7" xfId="4879" xr:uid="{00000000-0005-0000-0000-0000831E0000}"/>
    <cellStyle name="Normal 9 2 2 2 2 2 7 2" xfId="13374" xr:uid="{E5018CA1-3B02-40D6-8101-CA27D3D2E3CB}"/>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931" xr:uid="{86ECA329-44F4-48CA-8271-ECBF7877809E}"/>
    <cellStyle name="Normal 9 2 2 2 2 3 2 3" xfId="11718" xr:uid="{7A16A9DA-1D5C-4D81-993E-BCA0A92CE0C3}"/>
    <cellStyle name="Normal 9 2 2 2 2 3 3" xfId="5291" xr:uid="{00000000-0005-0000-0000-0000871E0000}"/>
    <cellStyle name="Normal 9 2 2 2 2 3 3 2" xfId="13786" xr:uid="{98B0623A-CC81-4EA1-923A-353316332E0E}"/>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344" xr:uid="{BE936F96-3D69-4857-B03E-62A54E4A9731}"/>
    <cellStyle name="Normal 9 2 2 2 2 4 2 3" xfId="12131" xr:uid="{FC2DCA00-0ED7-4C56-9E17-7C0461ACFC05}"/>
    <cellStyle name="Normal 9 2 2 2 2 4 3" xfId="5704" xr:uid="{00000000-0005-0000-0000-00008B1E0000}"/>
    <cellStyle name="Normal 9 2 2 2 2 4 3 2" xfId="14199" xr:uid="{9CEE34E7-C585-4FC9-A126-B11FEF6F1A67}"/>
    <cellStyle name="Normal 9 2 2 2 2 4 4" xfId="9986" xr:uid="{D13045BC-0880-4448-9BDF-216E278DB38D}"/>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57" xr:uid="{EE85BF73-866C-4456-8125-F0069E0E611E}"/>
    <cellStyle name="Normal 9 2 2 2 2 5 2 3" xfId="12544" xr:uid="{F5C3382E-5587-4D62-8B7B-94BDB3FA50AC}"/>
    <cellStyle name="Normal 9 2 2 2 2 5 3" xfId="6117" xr:uid="{00000000-0005-0000-0000-00008F1E0000}"/>
    <cellStyle name="Normal 9 2 2 2 2 5 3 2" xfId="14612" xr:uid="{6824C5F5-3D9F-4B02-BB54-76052986192C}"/>
    <cellStyle name="Normal 9 2 2 2 2 5 4" xfId="10399" xr:uid="{B7659643-BFC8-4D32-B5D1-5E163E30953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70" xr:uid="{6DFA75DA-A5A9-42FE-8D06-C7D10C994531}"/>
    <cellStyle name="Normal 9 2 2 2 2 6 2 3" xfId="12957" xr:uid="{A7EBC2A4-FA3C-4459-99F5-438B7F64209A}"/>
    <cellStyle name="Normal 9 2 2 2 2 6 3" xfId="6530" xr:uid="{00000000-0005-0000-0000-0000931E0000}"/>
    <cellStyle name="Normal 9 2 2 2 2 6 3 2" xfId="15025" xr:uid="{07203DAC-3B18-4581-8097-37C082C04AC8}"/>
    <cellStyle name="Normal 9 2 2 2 2 6 4" xfId="10812" xr:uid="{4BD6BE31-E53A-4D86-864F-D1224A1BABFD}"/>
    <cellStyle name="Normal 9 2 2 2 2 7" xfId="2660" xr:uid="{00000000-0005-0000-0000-0000941E0000}"/>
    <cellStyle name="Normal 9 2 2 2 2 7 2" xfId="6943" xr:uid="{00000000-0005-0000-0000-0000951E0000}"/>
    <cellStyle name="Normal 9 2 2 2 2 7 2 2" xfId="15438" xr:uid="{8DFA2EC3-ABA7-46C4-9B0E-79C8B6D0C6FF}"/>
    <cellStyle name="Normal 9 2 2 2 2 7 3" xfId="11225" xr:uid="{64672DF1-9451-4480-A028-DF135794451F}"/>
    <cellStyle name="Normal 9 2 2 2 2 8" xfId="4878" xr:uid="{00000000-0005-0000-0000-0000961E0000}"/>
    <cellStyle name="Normal 9 2 2 2 2 8 2" xfId="13373" xr:uid="{2E6DC72F-3E5A-4C68-B21F-7B6265F01CF6}"/>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933" xr:uid="{5C3F4CF9-BEAB-49D7-92AB-2EE6234DB513}"/>
    <cellStyle name="Normal 9 2 2 2 3 2 2 3" xfId="11720" xr:uid="{7E39B638-C3AD-489A-AA64-CE5EC5A79C8E}"/>
    <cellStyle name="Normal 9 2 2 2 3 2 3" xfId="5293" xr:uid="{00000000-0005-0000-0000-00009B1E0000}"/>
    <cellStyle name="Normal 9 2 2 2 3 2 3 2" xfId="13788" xr:uid="{9CE6F86C-DC66-4910-B5F6-183D42923734}"/>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46" xr:uid="{59797C1A-7C3F-48FC-9F73-A8B9AB302A4D}"/>
    <cellStyle name="Normal 9 2 2 2 3 3 2 3" xfId="12133" xr:uid="{E890D8A4-7480-489B-B752-DBBE6695FDA8}"/>
    <cellStyle name="Normal 9 2 2 2 3 3 3" xfId="5706" xr:uid="{00000000-0005-0000-0000-00009F1E0000}"/>
    <cellStyle name="Normal 9 2 2 2 3 3 3 2" xfId="14201" xr:uid="{1340DAD2-6E8D-4A24-96E7-CBC2882A61E4}"/>
    <cellStyle name="Normal 9 2 2 2 3 3 4" xfId="9988" xr:uid="{E897F345-71C1-419E-9A25-32F38279FB06}"/>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59" xr:uid="{BAF5902F-2103-4359-AC85-D6BC30C1D62E}"/>
    <cellStyle name="Normal 9 2 2 2 3 4 2 3" xfId="12546" xr:uid="{3F76D848-B6D9-4170-944C-98F1BB799E56}"/>
    <cellStyle name="Normal 9 2 2 2 3 4 3" xfId="6119" xr:uid="{00000000-0005-0000-0000-0000A31E0000}"/>
    <cellStyle name="Normal 9 2 2 2 3 4 3 2" xfId="14614" xr:uid="{A5D4CFAC-DFB3-4895-A3A7-09CBB066EE2D}"/>
    <cellStyle name="Normal 9 2 2 2 3 4 4" xfId="10401" xr:uid="{59CD3054-5F69-400C-B260-FEF1F6F658C4}"/>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72" xr:uid="{604B389F-9779-4E72-819C-A0134C62C215}"/>
    <cellStyle name="Normal 9 2 2 2 3 5 2 3" xfId="12959" xr:uid="{9E632E96-F43B-47C1-829F-08F4AC2966AA}"/>
    <cellStyle name="Normal 9 2 2 2 3 5 3" xfId="6532" xr:uid="{00000000-0005-0000-0000-0000A71E0000}"/>
    <cellStyle name="Normal 9 2 2 2 3 5 3 2" xfId="15027" xr:uid="{6E24A9F1-B839-4688-980A-1036F1774FC1}"/>
    <cellStyle name="Normal 9 2 2 2 3 5 4" xfId="10814" xr:uid="{E73DCD38-9999-4007-8D91-D5D7F17CA19C}"/>
    <cellStyle name="Normal 9 2 2 2 3 6" xfId="2662" xr:uid="{00000000-0005-0000-0000-0000A81E0000}"/>
    <cellStyle name="Normal 9 2 2 2 3 6 2" xfId="6945" xr:uid="{00000000-0005-0000-0000-0000A91E0000}"/>
    <cellStyle name="Normal 9 2 2 2 3 6 2 2" xfId="15440" xr:uid="{B7C70768-E36D-42D5-A313-63B1730F6191}"/>
    <cellStyle name="Normal 9 2 2 2 3 6 3" xfId="11227" xr:uid="{3280816D-6265-4F98-88EE-7992EE5275AD}"/>
    <cellStyle name="Normal 9 2 2 2 3 7" xfId="4880" xr:uid="{00000000-0005-0000-0000-0000AA1E0000}"/>
    <cellStyle name="Normal 9 2 2 2 3 7 2" xfId="13375" xr:uid="{6633AA46-8AF2-4FCC-98C6-E1EBBA03777F}"/>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930" xr:uid="{17E61EA6-F2D3-4882-B5E1-E9D147AF7283}"/>
    <cellStyle name="Normal 9 2 2 2 4 2 3" xfId="11717" xr:uid="{A3D74B9C-D6A1-4637-B75A-87F97921936E}"/>
    <cellStyle name="Normal 9 2 2 2 4 3" xfId="5290" xr:uid="{00000000-0005-0000-0000-0000AE1E0000}"/>
    <cellStyle name="Normal 9 2 2 2 4 3 2" xfId="13785" xr:uid="{C664DCCD-4476-4613-A02D-26E27DD25A61}"/>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343" xr:uid="{334EF799-C7D9-48B7-A90D-6F336DC8A5AB}"/>
    <cellStyle name="Normal 9 2 2 2 5 2 3" xfId="12130" xr:uid="{1F96F7DD-3F06-48B3-89CB-F18B3937673B}"/>
    <cellStyle name="Normal 9 2 2 2 5 3" xfId="5703" xr:uid="{00000000-0005-0000-0000-0000B21E0000}"/>
    <cellStyle name="Normal 9 2 2 2 5 3 2" xfId="14198" xr:uid="{4ADF43D9-D4AF-4141-9668-E8CBF755803C}"/>
    <cellStyle name="Normal 9 2 2 2 5 4" xfId="9985" xr:uid="{40D87510-26AD-447F-9914-3B37F3C09F2A}"/>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56" xr:uid="{C0DFE7F5-7E4F-403B-B957-8B859375D6E4}"/>
    <cellStyle name="Normal 9 2 2 2 6 2 3" xfId="12543" xr:uid="{E69866B3-F87F-43EE-970F-D55C5B4A39D1}"/>
    <cellStyle name="Normal 9 2 2 2 6 3" xfId="6116" xr:uid="{00000000-0005-0000-0000-0000B61E0000}"/>
    <cellStyle name="Normal 9 2 2 2 6 3 2" xfId="14611" xr:uid="{97D48C7E-5275-4AA7-BB3C-5FEF60C2A707}"/>
    <cellStyle name="Normal 9 2 2 2 6 4" xfId="10398" xr:uid="{84A4BF7D-31CC-4B9A-99CB-373A247F949A}"/>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69" xr:uid="{5A3D164E-8FFF-49DC-928B-90C80B0749FC}"/>
    <cellStyle name="Normal 9 2 2 2 7 2 3" xfId="12956" xr:uid="{15373875-A3C9-4360-BA9F-23D2F7713122}"/>
    <cellStyle name="Normal 9 2 2 2 7 3" xfId="6529" xr:uid="{00000000-0005-0000-0000-0000BA1E0000}"/>
    <cellStyle name="Normal 9 2 2 2 7 3 2" xfId="15024" xr:uid="{29ED5283-EA0C-41ED-A832-46B21CEA2BBE}"/>
    <cellStyle name="Normal 9 2 2 2 7 4" xfId="10811" xr:uid="{BB73D651-F0B3-437D-B861-FEDB0222A8F7}"/>
    <cellStyle name="Normal 9 2 2 2 8" xfId="2659" xr:uid="{00000000-0005-0000-0000-0000BB1E0000}"/>
    <cellStyle name="Normal 9 2 2 2 8 2" xfId="6942" xr:uid="{00000000-0005-0000-0000-0000BC1E0000}"/>
    <cellStyle name="Normal 9 2 2 2 8 2 2" xfId="15437" xr:uid="{7E699B5A-62DC-4A4E-B505-90BEB407C1BE}"/>
    <cellStyle name="Normal 9 2 2 2 8 3" xfId="11224" xr:uid="{4F691D4E-265D-4495-A36E-31E67EB118AE}"/>
    <cellStyle name="Normal 9 2 2 2 9" xfId="4877" xr:uid="{00000000-0005-0000-0000-0000BD1E0000}"/>
    <cellStyle name="Normal 9 2 2 2 9 2" xfId="13372" xr:uid="{126C975D-A53A-4BA7-9415-01CCADE17949}"/>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935" xr:uid="{8014D6AE-1B39-47F3-BD80-D1E1ED195353}"/>
    <cellStyle name="Normal 9 2 2 3 2 2 2 3" xfId="11722" xr:uid="{DFE99238-A391-4A53-B2F1-CD2DDA495B96}"/>
    <cellStyle name="Normal 9 2 2 3 2 2 3" xfId="5295" xr:uid="{00000000-0005-0000-0000-0000C31E0000}"/>
    <cellStyle name="Normal 9 2 2 3 2 2 3 2" xfId="13790" xr:uid="{98DA90F9-71DD-4B1A-93D8-D119A1744359}"/>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48" xr:uid="{8DF2FF2C-8C47-4A3F-96AE-D9D5D88D86AA}"/>
    <cellStyle name="Normal 9 2 2 3 2 3 2 3" xfId="12135" xr:uid="{ACC78F59-4DF0-415E-AE27-AA7473AA6B7A}"/>
    <cellStyle name="Normal 9 2 2 3 2 3 3" xfId="5708" xr:uid="{00000000-0005-0000-0000-0000C71E0000}"/>
    <cellStyle name="Normal 9 2 2 3 2 3 3 2" xfId="14203" xr:uid="{1DF4E3FE-594F-405A-AE67-CD9E6988A978}"/>
    <cellStyle name="Normal 9 2 2 3 2 3 4" xfId="9990" xr:uid="{253B3B55-8D3E-47B0-B041-543D42F590C8}"/>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61" xr:uid="{C98A3482-2844-4405-96E3-7077B4C4BA48}"/>
    <cellStyle name="Normal 9 2 2 3 2 4 2 3" xfId="12548" xr:uid="{51F02584-6786-4260-8304-CFA9CD4D732A}"/>
    <cellStyle name="Normal 9 2 2 3 2 4 3" xfId="6121" xr:uid="{00000000-0005-0000-0000-0000CB1E0000}"/>
    <cellStyle name="Normal 9 2 2 3 2 4 3 2" xfId="14616" xr:uid="{53238461-83B0-4B67-A52A-A5FD006D99E3}"/>
    <cellStyle name="Normal 9 2 2 3 2 4 4" xfId="10403" xr:uid="{0EEADB9B-001B-4218-9E4E-22D4075D27D2}"/>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74" xr:uid="{1CF0F282-AD56-42EB-8995-CAB60F042F6F}"/>
    <cellStyle name="Normal 9 2 2 3 2 5 2 3" xfId="12961" xr:uid="{FB7C1583-0386-4FF1-B811-5E23D2BC236D}"/>
    <cellStyle name="Normal 9 2 2 3 2 5 3" xfId="6534" xr:uid="{00000000-0005-0000-0000-0000CF1E0000}"/>
    <cellStyle name="Normal 9 2 2 3 2 5 3 2" xfId="15029" xr:uid="{E2ECD098-D1F1-4A92-B93D-C34375649C74}"/>
    <cellStyle name="Normal 9 2 2 3 2 5 4" xfId="10816" xr:uid="{E642B1A3-99AA-42A9-ABF9-147F992E2685}"/>
    <cellStyle name="Normal 9 2 2 3 2 6" xfId="2664" xr:uid="{00000000-0005-0000-0000-0000D01E0000}"/>
    <cellStyle name="Normal 9 2 2 3 2 6 2" xfId="6947" xr:uid="{00000000-0005-0000-0000-0000D11E0000}"/>
    <cellStyle name="Normal 9 2 2 3 2 6 2 2" xfId="15442" xr:uid="{BA2EC688-5D9D-4FD5-B329-4BD2489C64B2}"/>
    <cellStyle name="Normal 9 2 2 3 2 6 3" xfId="11229" xr:uid="{FF37B055-D9B1-4DD3-91C0-A839E7263A4C}"/>
    <cellStyle name="Normal 9 2 2 3 2 7" xfId="4882" xr:uid="{00000000-0005-0000-0000-0000D21E0000}"/>
    <cellStyle name="Normal 9 2 2 3 2 7 2" xfId="13377" xr:uid="{13011E2A-F2C7-49DF-9809-0A2D91A046FF}"/>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934" xr:uid="{E1F97C1E-4B7A-4DBE-B9EA-CF718A4BAEBF}"/>
    <cellStyle name="Normal 9 2 2 3 3 2 3" xfId="11721" xr:uid="{3DB5A994-0E24-4025-9CC0-43FF10826989}"/>
    <cellStyle name="Normal 9 2 2 3 3 3" xfId="5294" xr:uid="{00000000-0005-0000-0000-0000D61E0000}"/>
    <cellStyle name="Normal 9 2 2 3 3 3 2" xfId="13789" xr:uid="{41B3F0AB-63C7-4D93-9DF9-2B480B28558F}"/>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47" xr:uid="{577D574B-DCA9-4F37-8B99-8CCEE7FD950B}"/>
    <cellStyle name="Normal 9 2 2 3 4 2 3" xfId="12134" xr:uid="{6E61A279-E19E-4CE4-A45F-BEF266B6E760}"/>
    <cellStyle name="Normal 9 2 2 3 4 3" xfId="5707" xr:uid="{00000000-0005-0000-0000-0000DA1E0000}"/>
    <cellStyle name="Normal 9 2 2 3 4 3 2" xfId="14202" xr:uid="{842D80EA-59B9-432F-9D13-B5AC0D89E9B1}"/>
    <cellStyle name="Normal 9 2 2 3 4 4" xfId="9989" xr:uid="{34A56740-3335-4870-BE48-DE942054F8EB}"/>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60" xr:uid="{FDFC9E64-AE53-40D7-8650-BC2B6F8A49C3}"/>
    <cellStyle name="Normal 9 2 2 3 5 2 3" xfId="12547" xr:uid="{E4E6C10E-7AD9-4C8D-BE9A-4BD477252484}"/>
    <cellStyle name="Normal 9 2 2 3 5 3" xfId="6120" xr:uid="{00000000-0005-0000-0000-0000DE1E0000}"/>
    <cellStyle name="Normal 9 2 2 3 5 3 2" xfId="14615" xr:uid="{E73E5D6D-0A1C-4AAB-93C7-163E0C98136B}"/>
    <cellStyle name="Normal 9 2 2 3 5 4" xfId="10402" xr:uid="{6D6EF125-216A-4443-85AD-84A5AC855AE7}"/>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73" xr:uid="{5012E4B4-919B-4A17-B37F-CE25C15BF07E}"/>
    <cellStyle name="Normal 9 2 2 3 6 2 3" xfId="12960" xr:uid="{4C67D543-C3DB-4283-933A-7EFD3ACE5341}"/>
    <cellStyle name="Normal 9 2 2 3 6 3" xfId="6533" xr:uid="{00000000-0005-0000-0000-0000E21E0000}"/>
    <cellStyle name="Normal 9 2 2 3 6 3 2" xfId="15028" xr:uid="{B31380D5-87E9-4D1F-8755-ADB810F24826}"/>
    <cellStyle name="Normal 9 2 2 3 6 4" xfId="10815" xr:uid="{6DF7FFA0-9EBA-43F8-83F3-20BFF05B4B37}"/>
    <cellStyle name="Normal 9 2 2 3 7" xfId="2663" xr:uid="{00000000-0005-0000-0000-0000E31E0000}"/>
    <cellStyle name="Normal 9 2 2 3 7 2" xfId="6946" xr:uid="{00000000-0005-0000-0000-0000E41E0000}"/>
    <cellStyle name="Normal 9 2 2 3 7 2 2" xfId="15441" xr:uid="{FE5F50FF-CD30-4498-A675-67A3172D8D63}"/>
    <cellStyle name="Normal 9 2 2 3 7 3" xfId="11228" xr:uid="{0590CCA8-930A-41E0-9BB0-1D7221E0A3C3}"/>
    <cellStyle name="Normal 9 2 2 3 8" xfId="4881" xr:uid="{00000000-0005-0000-0000-0000E51E0000}"/>
    <cellStyle name="Normal 9 2 2 3 8 2" xfId="13376" xr:uid="{1F8CCE7D-E83D-4568-A4C2-D8009DE6F0E5}"/>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936" xr:uid="{85EAF5D8-B22B-4FAC-91D0-A7965BFB0105}"/>
    <cellStyle name="Normal 9 2 2 4 2 2 3" xfId="11723" xr:uid="{F7880EFC-48CC-4030-B584-B2F79C1A9C44}"/>
    <cellStyle name="Normal 9 2 2 4 2 3" xfId="5296" xr:uid="{00000000-0005-0000-0000-0000EA1E0000}"/>
    <cellStyle name="Normal 9 2 2 4 2 3 2" xfId="13791" xr:uid="{069193AE-30F6-4A08-9C6C-841D7515F0D1}"/>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49" xr:uid="{2D955FFB-908A-467A-B9F2-8A21B6C626B2}"/>
    <cellStyle name="Normal 9 2 2 4 3 2 3" xfId="12136" xr:uid="{D896A616-B98F-4B63-956A-7CC354D07542}"/>
    <cellStyle name="Normal 9 2 2 4 3 3" xfId="5709" xr:uid="{00000000-0005-0000-0000-0000EE1E0000}"/>
    <cellStyle name="Normal 9 2 2 4 3 3 2" xfId="14204" xr:uid="{A3276A05-DCAB-48E2-8D07-ECDD573BF377}"/>
    <cellStyle name="Normal 9 2 2 4 3 4" xfId="9991" xr:uid="{E9AA340B-A7B4-4268-AE74-22116DBAF860}"/>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62" xr:uid="{29F682BA-C884-4FBA-B125-CE0F6145F6A2}"/>
    <cellStyle name="Normal 9 2 2 4 4 2 3" xfId="12549" xr:uid="{D30C3298-06CF-4C69-B1B0-2656E8AD19AB}"/>
    <cellStyle name="Normal 9 2 2 4 4 3" xfId="6122" xr:uid="{00000000-0005-0000-0000-0000F21E0000}"/>
    <cellStyle name="Normal 9 2 2 4 4 3 2" xfId="14617" xr:uid="{71D12E1B-920C-48A0-88BE-02003B172A08}"/>
    <cellStyle name="Normal 9 2 2 4 4 4" xfId="10404" xr:uid="{DC09E501-CA9F-4C02-A86A-6C6654071806}"/>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75" xr:uid="{EED7A2B1-DDB7-4AE7-81DC-968DAC88139D}"/>
    <cellStyle name="Normal 9 2 2 4 5 2 3" xfId="12962" xr:uid="{4EEB7C68-C094-4C7B-8AB4-5EB5B48AFD1B}"/>
    <cellStyle name="Normal 9 2 2 4 5 3" xfId="6535" xr:uid="{00000000-0005-0000-0000-0000F61E0000}"/>
    <cellStyle name="Normal 9 2 2 4 5 3 2" xfId="15030" xr:uid="{45E69780-3347-41D2-8B45-9CDBB4A047E3}"/>
    <cellStyle name="Normal 9 2 2 4 5 4" xfId="10817" xr:uid="{30E98B8D-3518-4733-B652-71507963A5BD}"/>
    <cellStyle name="Normal 9 2 2 4 6" xfId="2665" xr:uid="{00000000-0005-0000-0000-0000F71E0000}"/>
    <cellStyle name="Normal 9 2 2 4 6 2" xfId="6948" xr:uid="{00000000-0005-0000-0000-0000F81E0000}"/>
    <cellStyle name="Normal 9 2 2 4 6 2 2" xfId="15443" xr:uid="{02532A20-2441-4871-9868-2D5343F44BD2}"/>
    <cellStyle name="Normal 9 2 2 4 6 3" xfId="11230" xr:uid="{763A696A-03A6-43E7-90A3-D1F6A061033D}"/>
    <cellStyle name="Normal 9 2 2 4 7" xfId="4883" xr:uid="{00000000-0005-0000-0000-0000F91E0000}"/>
    <cellStyle name="Normal 9 2 2 4 7 2" xfId="13378" xr:uid="{25F7E0DB-A6BA-4098-B3C6-24DDFA71C347}"/>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2 2 2" xfId="15929" xr:uid="{82EDCCC5-10C3-42D7-BB6D-B3A1F284F808}"/>
    <cellStyle name="Normal 9 2 2 5 2 3" xfId="11716" xr:uid="{32B982A0-02C4-4DA6-A6D3-A772659C4F16}"/>
    <cellStyle name="Normal 9 2 2 5 3" xfId="5289" xr:uid="{00000000-0005-0000-0000-0000FD1E0000}"/>
    <cellStyle name="Normal 9 2 2 5 3 2" xfId="13784" xr:uid="{D33B1745-0369-4CA3-9D2E-F72B8397D2EE}"/>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2 2 2" xfId="16342" xr:uid="{E8855F51-4002-4F6B-A671-9DD51AF092DD}"/>
    <cellStyle name="Normal 9 2 2 6 2 3" xfId="12129" xr:uid="{6B832BB9-C06F-4595-99FD-ED21A1676942}"/>
    <cellStyle name="Normal 9 2 2 6 3" xfId="5702" xr:uid="{00000000-0005-0000-0000-0000011F0000}"/>
    <cellStyle name="Normal 9 2 2 6 3 2" xfId="14197" xr:uid="{9E23CFD6-91BE-4B1C-8B51-4BF3A15EFA6D}"/>
    <cellStyle name="Normal 9 2 2 6 4" xfId="9984" xr:uid="{FFBBB7CC-14FB-4FF4-92D4-B7059C130781}"/>
    <cellStyle name="Normal 9 2 2 7" xfId="1808" xr:uid="{00000000-0005-0000-0000-0000021F0000}"/>
    <cellStyle name="Normal 9 2 2 7 2" xfId="4038" xr:uid="{00000000-0005-0000-0000-0000031F0000}"/>
    <cellStyle name="Normal 9 2 2 7 2 2" xfId="8260" xr:uid="{00000000-0005-0000-0000-0000041F0000}"/>
    <cellStyle name="Normal 9 2 2 7 2 2 2" xfId="16755" xr:uid="{90DB829C-4AF6-4D9E-B4AD-EA96F27C72C2}"/>
    <cellStyle name="Normal 9 2 2 7 2 3" xfId="12542" xr:uid="{FB8177DD-F7BA-4C4F-A99C-68FD00B5DE54}"/>
    <cellStyle name="Normal 9 2 2 7 3" xfId="6115" xr:uid="{00000000-0005-0000-0000-0000051F0000}"/>
    <cellStyle name="Normal 9 2 2 7 3 2" xfId="14610" xr:uid="{906EB494-8098-405D-82D3-5E2F80BE49DC}"/>
    <cellStyle name="Normal 9 2 2 7 4" xfId="10397" xr:uid="{45FBA9B7-2B61-4469-8FDA-3F9F8F9E82F7}"/>
    <cellStyle name="Normal 9 2 2 8" xfId="2222" xr:uid="{00000000-0005-0000-0000-0000061F0000}"/>
    <cellStyle name="Normal 9 2 2 8 2" xfId="4451" xr:uid="{00000000-0005-0000-0000-0000071F0000}"/>
    <cellStyle name="Normal 9 2 2 8 2 2" xfId="8673" xr:uid="{00000000-0005-0000-0000-0000081F0000}"/>
    <cellStyle name="Normal 9 2 2 8 2 2 2" xfId="17168" xr:uid="{C1C2D940-0760-4B09-AAD8-618B6374CAD2}"/>
    <cellStyle name="Normal 9 2 2 8 2 3" xfId="12955" xr:uid="{6822E4E8-4752-4C97-BDFD-8C16ACE3E530}"/>
    <cellStyle name="Normal 9 2 2 8 3" xfId="6528" xr:uid="{00000000-0005-0000-0000-0000091F0000}"/>
    <cellStyle name="Normal 9 2 2 8 3 2" xfId="15023" xr:uid="{AA38489B-C09F-4761-8F1B-EAD5866B10C7}"/>
    <cellStyle name="Normal 9 2 2 8 4" xfId="10810" xr:uid="{9990605D-3FD5-4C9B-86E4-531A48186E8C}"/>
    <cellStyle name="Normal 9 2 2 9" xfId="2658" xr:uid="{00000000-0005-0000-0000-00000A1F0000}"/>
    <cellStyle name="Normal 9 2 2 9 2" xfId="6941" xr:uid="{00000000-0005-0000-0000-00000B1F0000}"/>
    <cellStyle name="Normal 9 2 2 9 2 2" xfId="15436" xr:uid="{DE7A4E07-EBEF-42E0-9E1C-21CF6F3D3A02}"/>
    <cellStyle name="Normal 9 2 2 9 3" xfId="11223" xr:uid="{68FEADE2-36AD-4249-AAC2-FDAE048921CA}"/>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939" xr:uid="{AC9F3529-00D1-4F1D-94D1-484E9AFDE3C3}"/>
    <cellStyle name="Normal 9 2 3 2 2 2 2 3" xfId="11726" xr:uid="{A62C591E-CC18-4554-B5C5-A7E62C797668}"/>
    <cellStyle name="Normal 9 2 3 2 2 2 3" xfId="5299" xr:uid="{00000000-0005-0000-0000-0000121F0000}"/>
    <cellStyle name="Normal 9 2 3 2 2 2 3 2" xfId="13794" xr:uid="{C69D5D13-6F5D-4076-B61E-8B607143C41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52" xr:uid="{E2214205-E8FF-4CEF-BCDE-F50EC4E6A4BD}"/>
    <cellStyle name="Normal 9 2 3 2 2 3 2 3" xfId="12139" xr:uid="{EFC2CD54-1962-46CE-9A29-E6D83AFB5E45}"/>
    <cellStyle name="Normal 9 2 3 2 2 3 3" xfId="5712" xr:uid="{00000000-0005-0000-0000-0000161F0000}"/>
    <cellStyle name="Normal 9 2 3 2 2 3 3 2" xfId="14207" xr:uid="{2D8BC966-DFC1-455F-ABD9-78848CA56AB0}"/>
    <cellStyle name="Normal 9 2 3 2 2 3 4" xfId="9994" xr:uid="{E5CB8934-B27E-49CA-9902-3C785D0C3483}"/>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65" xr:uid="{CCC8BF45-14CD-4723-893B-8F8EDE6CCB1A}"/>
    <cellStyle name="Normal 9 2 3 2 2 4 2 3" xfId="12552" xr:uid="{4FFEC631-B984-4B91-B955-368384610C50}"/>
    <cellStyle name="Normal 9 2 3 2 2 4 3" xfId="6125" xr:uid="{00000000-0005-0000-0000-00001A1F0000}"/>
    <cellStyle name="Normal 9 2 3 2 2 4 3 2" xfId="14620" xr:uid="{228194F6-FE52-4C8D-B39B-D2AC1D9F0AFD}"/>
    <cellStyle name="Normal 9 2 3 2 2 4 4" xfId="10407" xr:uid="{67E2DE26-C225-4529-A8DA-894450F4FDFE}"/>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78" xr:uid="{7D72CE70-2A48-42C0-AACD-7FAC9F4799D9}"/>
    <cellStyle name="Normal 9 2 3 2 2 5 2 3" xfId="12965" xr:uid="{CDE002B6-4B4A-4312-8505-DF88C7087BB9}"/>
    <cellStyle name="Normal 9 2 3 2 2 5 3" xfId="6538" xr:uid="{00000000-0005-0000-0000-00001E1F0000}"/>
    <cellStyle name="Normal 9 2 3 2 2 5 3 2" xfId="15033" xr:uid="{EB91C3AD-6DF4-4552-BEF8-58761FD78FA5}"/>
    <cellStyle name="Normal 9 2 3 2 2 5 4" xfId="10820" xr:uid="{81882C27-DDBE-46C3-AD5A-3470BB905435}"/>
    <cellStyle name="Normal 9 2 3 2 2 6" xfId="2668" xr:uid="{00000000-0005-0000-0000-00001F1F0000}"/>
    <cellStyle name="Normal 9 2 3 2 2 6 2" xfId="6951" xr:uid="{00000000-0005-0000-0000-0000201F0000}"/>
    <cellStyle name="Normal 9 2 3 2 2 6 2 2" xfId="15446" xr:uid="{45B7CEDE-B4F3-4A4F-B932-530B5A5E582E}"/>
    <cellStyle name="Normal 9 2 3 2 2 6 3" xfId="11233" xr:uid="{E674E5D1-11C9-4BA8-9085-2EB352E334F2}"/>
    <cellStyle name="Normal 9 2 3 2 2 7" xfId="4886" xr:uid="{00000000-0005-0000-0000-0000211F0000}"/>
    <cellStyle name="Normal 9 2 3 2 2 7 2" xfId="13381" xr:uid="{D30816E7-E71A-4DD5-A018-AA1A6B44E9AD}"/>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938" xr:uid="{DD6656D5-1AE3-4098-8897-F9F91E55BEA5}"/>
    <cellStyle name="Normal 9 2 3 2 3 2 3" xfId="11725" xr:uid="{67AE8018-C5EB-4997-BAD5-1BF82C305BC0}"/>
    <cellStyle name="Normal 9 2 3 2 3 3" xfId="5298" xr:uid="{00000000-0005-0000-0000-0000251F0000}"/>
    <cellStyle name="Normal 9 2 3 2 3 3 2" xfId="13793" xr:uid="{6C48C137-3408-4D8F-8EA6-6C677794B0AE}"/>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51" xr:uid="{33F686E1-4036-441B-8570-27E5738833B7}"/>
    <cellStyle name="Normal 9 2 3 2 4 2 3" xfId="12138" xr:uid="{3DACA0DF-3FFB-475C-A57E-D6FCD8BF4EE7}"/>
    <cellStyle name="Normal 9 2 3 2 4 3" xfId="5711" xr:uid="{00000000-0005-0000-0000-0000291F0000}"/>
    <cellStyle name="Normal 9 2 3 2 4 3 2" xfId="14206" xr:uid="{F2292FFC-2D76-4F61-8DB2-D008641824A3}"/>
    <cellStyle name="Normal 9 2 3 2 4 4" xfId="9993" xr:uid="{9B04F61A-71CB-4B0F-A2C0-6A6069807178}"/>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64" xr:uid="{8CF4FBC3-0086-4FEF-BBE6-A64AD57DF0A3}"/>
    <cellStyle name="Normal 9 2 3 2 5 2 3" xfId="12551" xr:uid="{267B6CCC-985E-48BE-8466-399122D764DB}"/>
    <cellStyle name="Normal 9 2 3 2 5 3" xfId="6124" xr:uid="{00000000-0005-0000-0000-00002D1F0000}"/>
    <cellStyle name="Normal 9 2 3 2 5 3 2" xfId="14619" xr:uid="{81BB9B1C-034B-4D4E-820D-CD1EB0DB5FCB}"/>
    <cellStyle name="Normal 9 2 3 2 5 4" xfId="10406" xr:uid="{17D8C126-19E5-4049-89B5-202CF04BF64C}"/>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77" xr:uid="{9EE17543-1566-4CAE-88F9-1CCA6DF761D4}"/>
    <cellStyle name="Normal 9 2 3 2 6 2 3" xfId="12964" xr:uid="{B433A743-D0B2-459B-80C5-0F8D7BC675AD}"/>
    <cellStyle name="Normal 9 2 3 2 6 3" xfId="6537" xr:uid="{00000000-0005-0000-0000-0000311F0000}"/>
    <cellStyle name="Normal 9 2 3 2 6 3 2" xfId="15032" xr:uid="{99BC9A2F-1B34-43FD-B670-5B030641175A}"/>
    <cellStyle name="Normal 9 2 3 2 6 4" xfId="10819" xr:uid="{B062AF0F-F348-4376-AE6F-885B2597FAFC}"/>
    <cellStyle name="Normal 9 2 3 2 7" xfId="2667" xr:uid="{00000000-0005-0000-0000-0000321F0000}"/>
    <cellStyle name="Normal 9 2 3 2 7 2" xfId="6950" xr:uid="{00000000-0005-0000-0000-0000331F0000}"/>
    <cellStyle name="Normal 9 2 3 2 7 2 2" xfId="15445" xr:uid="{19805E92-EBD1-46FE-863C-066D96E31DD8}"/>
    <cellStyle name="Normal 9 2 3 2 7 3" xfId="11232" xr:uid="{A15AB591-5654-4DFF-875F-E10A7A40D784}"/>
    <cellStyle name="Normal 9 2 3 2 8" xfId="4885" xr:uid="{00000000-0005-0000-0000-0000341F0000}"/>
    <cellStyle name="Normal 9 2 3 2 8 2" xfId="13380" xr:uid="{3A142D2C-EC83-4DD5-BE32-E04B2AF3BCA6}"/>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940" xr:uid="{CA8DE95F-086C-4295-92B6-62283E103273}"/>
    <cellStyle name="Normal 9 2 3 3 2 2 3" xfId="11727" xr:uid="{CC3226DE-A0A9-4A4A-8BA9-23863570C118}"/>
    <cellStyle name="Normal 9 2 3 3 2 3" xfId="5300" xr:uid="{00000000-0005-0000-0000-0000391F0000}"/>
    <cellStyle name="Normal 9 2 3 3 2 3 2" xfId="13795" xr:uid="{A6919441-84B4-4129-9C13-9429E67B721E}"/>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53" xr:uid="{BC34FD84-3BB8-4EEA-AC04-83F3739883BF}"/>
    <cellStyle name="Normal 9 2 3 3 3 2 3" xfId="12140" xr:uid="{79DC77B3-6DF7-4458-9063-14C284D883A5}"/>
    <cellStyle name="Normal 9 2 3 3 3 3" xfId="5713" xr:uid="{00000000-0005-0000-0000-00003D1F0000}"/>
    <cellStyle name="Normal 9 2 3 3 3 3 2" xfId="14208" xr:uid="{70524270-6320-4E0C-A029-E3369A4A1FA9}"/>
    <cellStyle name="Normal 9 2 3 3 3 4" xfId="9995" xr:uid="{D71A6555-77BF-4B76-8133-EF5C95F2FBF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66" xr:uid="{3786EDB2-CE61-4459-93DC-A1C324E48E06}"/>
    <cellStyle name="Normal 9 2 3 3 4 2 3" xfId="12553" xr:uid="{EE4CCB98-B978-45AA-8E50-658FD0214D22}"/>
    <cellStyle name="Normal 9 2 3 3 4 3" xfId="6126" xr:uid="{00000000-0005-0000-0000-0000411F0000}"/>
    <cellStyle name="Normal 9 2 3 3 4 3 2" xfId="14621" xr:uid="{E50C558B-B450-4C7F-B0CC-2E4F794660D1}"/>
    <cellStyle name="Normal 9 2 3 3 4 4" xfId="10408" xr:uid="{23291AF9-BC67-441D-8E85-74747AC150E1}"/>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79" xr:uid="{FBC0FEDF-C28C-43AF-8656-8CF37620955F}"/>
    <cellStyle name="Normal 9 2 3 3 5 2 3" xfId="12966" xr:uid="{CD99A522-20EA-4A25-8DC8-080BD38A1E38}"/>
    <cellStyle name="Normal 9 2 3 3 5 3" xfId="6539" xr:uid="{00000000-0005-0000-0000-0000451F0000}"/>
    <cellStyle name="Normal 9 2 3 3 5 3 2" xfId="15034" xr:uid="{465F4E1B-B832-4A8A-922A-690424FB6974}"/>
    <cellStyle name="Normal 9 2 3 3 5 4" xfId="10821" xr:uid="{39FA3F8E-8FDD-42BD-ABC0-D55EE6302DE1}"/>
    <cellStyle name="Normal 9 2 3 3 6" xfId="2669" xr:uid="{00000000-0005-0000-0000-0000461F0000}"/>
    <cellStyle name="Normal 9 2 3 3 6 2" xfId="6952" xr:uid="{00000000-0005-0000-0000-0000471F0000}"/>
    <cellStyle name="Normal 9 2 3 3 6 2 2" xfId="15447" xr:uid="{EA79154C-2284-4D38-BC9E-731B0C8F3CF7}"/>
    <cellStyle name="Normal 9 2 3 3 6 3" xfId="11234" xr:uid="{B5A4B010-B094-4E0E-BCDF-A2FD27411E31}"/>
    <cellStyle name="Normal 9 2 3 3 7" xfId="4887" xr:uid="{00000000-0005-0000-0000-0000481F0000}"/>
    <cellStyle name="Normal 9 2 3 3 7 2" xfId="13382" xr:uid="{88DF7A76-3CDB-47BB-9030-86F98D3439C9}"/>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2 2 2" xfId="15937" xr:uid="{8F9F552E-8CA5-41C4-9781-B80393DBB78D}"/>
    <cellStyle name="Normal 9 2 3 4 2 3" xfId="11724" xr:uid="{F6ED64D1-4147-4DAD-8119-955938B9B274}"/>
    <cellStyle name="Normal 9 2 3 4 3" xfId="5297" xr:uid="{00000000-0005-0000-0000-00004C1F0000}"/>
    <cellStyle name="Normal 9 2 3 4 3 2" xfId="13792" xr:uid="{540F303A-E500-4C1C-A013-396EFDCE9E34}"/>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2 2 2" xfId="16350" xr:uid="{FF3A6A36-33A9-4C61-9F1C-D291C66C214B}"/>
    <cellStyle name="Normal 9 2 3 5 2 3" xfId="12137" xr:uid="{6185BFA6-1C16-4750-ABCA-077E6E2BC223}"/>
    <cellStyle name="Normal 9 2 3 5 3" xfId="5710" xr:uid="{00000000-0005-0000-0000-0000501F0000}"/>
    <cellStyle name="Normal 9 2 3 5 3 2" xfId="14205" xr:uid="{EA8FBF80-3F98-45F9-BDDE-E01570CB684B}"/>
    <cellStyle name="Normal 9 2 3 5 4" xfId="9992" xr:uid="{FF8B2590-BFF4-414E-9613-5F740B4B4B2B}"/>
    <cellStyle name="Normal 9 2 3 6" xfId="1816" xr:uid="{00000000-0005-0000-0000-0000511F0000}"/>
    <cellStyle name="Normal 9 2 3 6 2" xfId="4046" xr:uid="{00000000-0005-0000-0000-0000521F0000}"/>
    <cellStyle name="Normal 9 2 3 6 2 2" xfId="8268" xr:uid="{00000000-0005-0000-0000-0000531F0000}"/>
    <cellStyle name="Normal 9 2 3 6 2 2 2" xfId="16763" xr:uid="{C0FFD14C-5106-410C-A2E5-C67BB9294BAA}"/>
    <cellStyle name="Normal 9 2 3 6 2 3" xfId="12550" xr:uid="{E07C78EE-52F3-4893-BD35-8DCC5CDD4458}"/>
    <cellStyle name="Normal 9 2 3 6 3" xfId="6123" xr:uid="{00000000-0005-0000-0000-0000541F0000}"/>
    <cellStyle name="Normal 9 2 3 6 3 2" xfId="14618" xr:uid="{01C1DB8C-047F-4AC4-A308-F3CFEBF5DBC8}"/>
    <cellStyle name="Normal 9 2 3 6 4" xfId="10405" xr:uid="{A0B6337C-DE8B-4CD9-BF84-65E5610497F6}"/>
    <cellStyle name="Normal 9 2 3 7" xfId="2230" xr:uid="{00000000-0005-0000-0000-0000551F0000}"/>
    <cellStyle name="Normal 9 2 3 7 2" xfId="4459" xr:uid="{00000000-0005-0000-0000-0000561F0000}"/>
    <cellStyle name="Normal 9 2 3 7 2 2" xfId="8681" xr:uid="{00000000-0005-0000-0000-0000571F0000}"/>
    <cellStyle name="Normal 9 2 3 7 2 2 2" xfId="17176" xr:uid="{41198CD6-EC68-4648-9D1F-248AC99AA0C7}"/>
    <cellStyle name="Normal 9 2 3 7 2 3" xfId="12963" xr:uid="{35413C93-FA92-40AE-A943-C1E09B2553E7}"/>
    <cellStyle name="Normal 9 2 3 7 3" xfId="6536" xr:uid="{00000000-0005-0000-0000-0000581F0000}"/>
    <cellStyle name="Normal 9 2 3 7 3 2" xfId="15031" xr:uid="{F5DC4089-3824-46A0-A252-9D801F0A5F98}"/>
    <cellStyle name="Normal 9 2 3 7 4" xfId="10818" xr:uid="{05DF657F-DB04-490C-A7FD-96E5042EE6B3}"/>
    <cellStyle name="Normal 9 2 3 8" xfId="2666" xr:uid="{00000000-0005-0000-0000-0000591F0000}"/>
    <cellStyle name="Normal 9 2 3 8 2" xfId="6949" xr:uid="{00000000-0005-0000-0000-00005A1F0000}"/>
    <cellStyle name="Normal 9 2 3 8 2 2" xfId="15444" xr:uid="{E65ECB11-569C-4C03-91DC-2225E0549F1E}"/>
    <cellStyle name="Normal 9 2 3 8 3" xfId="11231" xr:uid="{130A1187-F994-4FD0-9114-2B40EAE40E92}"/>
    <cellStyle name="Normal 9 2 3 9" xfId="4884" xr:uid="{00000000-0005-0000-0000-00005B1F0000}"/>
    <cellStyle name="Normal 9 2 3 9 2" xfId="13379" xr:uid="{B844FB5F-5DC9-4EB3-97CF-456B149C12D2}"/>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942" xr:uid="{E99B1D6B-FC6C-4B0F-8ED6-EFCD468EEBB0}"/>
    <cellStyle name="Normal 9 2 4 2 2 2 3" xfId="11729" xr:uid="{B08457D1-6E26-451A-82C5-F59D87103709}"/>
    <cellStyle name="Normal 9 2 4 2 2 3" xfId="5302" xr:uid="{00000000-0005-0000-0000-0000611F0000}"/>
    <cellStyle name="Normal 9 2 4 2 2 3 2" xfId="13797" xr:uid="{08507BF1-498B-47A7-BE03-FBEC1A81D87F}"/>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55" xr:uid="{08AFC7FC-BD7E-48A1-A432-BACB802E385F}"/>
    <cellStyle name="Normal 9 2 4 2 3 2 3" xfId="12142" xr:uid="{DED9EE79-D24A-406B-9934-7E30D78CCBCC}"/>
    <cellStyle name="Normal 9 2 4 2 3 3" xfId="5715" xr:uid="{00000000-0005-0000-0000-0000651F0000}"/>
    <cellStyle name="Normal 9 2 4 2 3 3 2" xfId="14210" xr:uid="{54AD7898-5900-4685-B5D6-DBEE881A554E}"/>
    <cellStyle name="Normal 9 2 4 2 3 4" xfId="9997" xr:uid="{5C24DB41-F426-4EC5-A1C4-7D5B562E7A63}"/>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68" xr:uid="{53FF0BD8-20C6-4236-8941-B3296D35CC98}"/>
    <cellStyle name="Normal 9 2 4 2 4 2 3" xfId="12555" xr:uid="{414386A3-3CA4-4464-9CF4-475AC48F362F}"/>
    <cellStyle name="Normal 9 2 4 2 4 3" xfId="6128" xr:uid="{00000000-0005-0000-0000-0000691F0000}"/>
    <cellStyle name="Normal 9 2 4 2 4 3 2" xfId="14623" xr:uid="{5F0E847A-2F57-416F-9E45-A815D8F35F54}"/>
    <cellStyle name="Normal 9 2 4 2 4 4" xfId="10410" xr:uid="{A94FAC67-C85C-4E2E-BF53-907895FED22A}"/>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81" xr:uid="{19E83C7F-A71E-48BD-AE41-E41BC2733216}"/>
    <cellStyle name="Normal 9 2 4 2 5 2 3" xfId="12968" xr:uid="{FF9981D8-566D-4585-810C-6D3E47C91283}"/>
    <cellStyle name="Normal 9 2 4 2 5 3" xfId="6541" xr:uid="{00000000-0005-0000-0000-00006D1F0000}"/>
    <cellStyle name="Normal 9 2 4 2 5 3 2" xfId="15036" xr:uid="{1B5B6D66-C1AE-4FBB-A5C3-C2FDBC4849D2}"/>
    <cellStyle name="Normal 9 2 4 2 5 4" xfId="10823" xr:uid="{BD33A78B-6854-452F-833C-D9F73C55E693}"/>
    <cellStyle name="Normal 9 2 4 2 6" xfId="2671" xr:uid="{00000000-0005-0000-0000-00006E1F0000}"/>
    <cellStyle name="Normal 9 2 4 2 6 2" xfId="6954" xr:uid="{00000000-0005-0000-0000-00006F1F0000}"/>
    <cellStyle name="Normal 9 2 4 2 6 2 2" xfId="15449" xr:uid="{43419907-83BC-4E69-9E02-161A941B45F6}"/>
    <cellStyle name="Normal 9 2 4 2 6 3" xfId="11236" xr:uid="{2606FB5E-D53D-47D9-B05C-5E4F24E282AF}"/>
    <cellStyle name="Normal 9 2 4 2 7" xfId="4889" xr:uid="{00000000-0005-0000-0000-0000701F0000}"/>
    <cellStyle name="Normal 9 2 4 2 7 2" xfId="13384" xr:uid="{75493AD6-C9EA-474D-84A7-4AEFDF70C37D}"/>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2 2 2" xfId="15941" xr:uid="{DA17D16E-4FA5-4A47-A360-5250D128AB03}"/>
    <cellStyle name="Normal 9 2 4 3 2 3" xfId="11728" xr:uid="{33E0FDA0-079B-4725-A234-94AC225457D9}"/>
    <cellStyle name="Normal 9 2 4 3 3" xfId="5301" xr:uid="{00000000-0005-0000-0000-0000741F0000}"/>
    <cellStyle name="Normal 9 2 4 3 3 2" xfId="13796" xr:uid="{15BA5C45-FC8B-474A-933F-4C6C23820577}"/>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2 2 2" xfId="16354" xr:uid="{D38B57A6-DE3E-4796-84A0-D6ACE18D3720}"/>
    <cellStyle name="Normal 9 2 4 4 2 3" xfId="12141" xr:uid="{04ADA53F-A084-4564-A0E0-CA873DE5D0F6}"/>
    <cellStyle name="Normal 9 2 4 4 3" xfId="5714" xr:uid="{00000000-0005-0000-0000-0000781F0000}"/>
    <cellStyle name="Normal 9 2 4 4 3 2" xfId="14209" xr:uid="{7287C2DB-3113-4C94-80EF-6ADABB6147E4}"/>
    <cellStyle name="Normal 9 2 4 4 4" xfId="9996" xr:uid="{C5897A3C-B5F5-4705-9BB9-0FC555509411}"/>
    <cellStyle name="Normal 9 2 4 5" xfId="1820" xr:uid="{00000000-0005-0000-0000-0000791F0000}"/>
    <cellStyle name="Normal 9 2 4 5 2" xfId="4050" xr:uid="{00000000-0005-0000-0000-00007A1F0000}"/>
    <cellStyle name="Normal 9 2 4 5 2 2" xfId="8272" xr:uid="{00000000-0005-0000-0000-00007B1F0000}"/>
    <cellStyle name="Normal 9 2 4 5 2 2 2" xfId="16767" xr:uid="{3B09FD83-8F54-4D78-890C-8CCD7285D53A}"/>
    <cellStyle name="Normal 9 2 4 5 2 3" xfId="12554" xr:uid="{70CD1B43-25EF-44BC-A9EC-781ECDEF8D79}"/>
    <cellStyle name="Normal 9 2 4 5 3" xfId="6127" xr:uid="{00000000-0005-0000-0000-00007C1F0000}"/>
    <cellStyle name="Normal 9 2 4 5 3 2" xfId="14622" xr:uid="{493421D8-51F5-4082-9FC6-1C1EBAA1540B}"/>
    <cellStyle name="Normal 9 2 4 5 4" xfId="10409" xr:uid="{C85E3A21-0249-4D21-97E6-0088AF841B57}"/>
    <cellStyle name="Normal 9 2 4 6" xfId="2234" xr:uid="{00000000-0005-0000-0000-00007D1F0000}"/>
    <cellStyle name="Normal 9 2 4 6 2" xfId="4463" xr:uid="{00000000-0005-0000-0000-00007E1F0000}"/>
    <cellStyle name="Normal 9 2 4 6 2 2" xfId="8685" xr:uid="{00000000-0005-0000-0000-00007F1F0000}"/>
    <cellStyle name="Normal 9 2 4 6 2 2 2" xfId="17180" xr:uid="{221C4102-8230-4AB3-9022-DBC645BE2C4B}"/>
    <cellStyle name="Normal 9 2 4 6 2 3" xfId="12967" xr:uid="{0C949C9A-DCC8-4ADB-8F3D-F11FFDF7BED6}"/>
    <cellStyle name="Normal 9 2 4 6 3" xfId="6540" xr:uid="{00000000-0005-0000-0000-0000801F0000}"/>
    <cellStyle name="Normal 9 2 4 6 3 2" xfId="15035" xr:uid="{F621D024-7608-4900-BF5E-DD483E611552}"/>
    <cellStyle name="Normal 9 2 4 6 4" xfId="10822" xr:uid="{F7BD7D90-AA7B-4D5A-81B0-02D994E72E9E}"/>
    <cellStyle name="Normal 9 2 4 7" xfId="2670" xr:uid="{00000000-0005-0000-0000-0000811F0000}"/>
    <cellStyle name="Normal 9 2 4 7 2" xfId="6953" xr:uid="{00000000-0005-0000-0000-0000821F0000}"/>
    <cellStyle name="Normal 9 2 4 7 2 2" xfId="15448" xr:uid="{AAEA98C2-AE0E-4335-86C7-E79228A4F0A5}"/>
    <cellStyle name="Normal 9 2 4 7 3" xfId="11235" xr:uid="{23C5B9D9-EDD5-4303-B48B-C56817B666AE}"/>
    <cellStyle name="Normal 9 2 4 8" xfId="4888" xr:uid="{00000000-0005-0000-0000-0000831F0000}"/>
    <cellStyle name="Normal 9 2 4 8 2" xfId="13383" xr:uid="{882E0873-4C17-45EC-A2E2-2C612D3237F6}"/>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943" xr:uid="{BBF6EB79-A2AC-40C7-8254-10259A1F034F}"/>
    <cellStyle name="Normal 9 2 5 2 2 3" xfId="11730" xr:uid="{6A1323BD-D186-445E-8331-32087E4DE594}"/>
    <cellStyle name="Normal 9 2 5 2 3" xfId="5303" xr:uid="{00000000-0005-0000-0000-0000881F0000}"/>
    <cellStyle name="Normal 9 2 5 2 3 2" xfId="13798" xr:uid="{82619648-1CF8-4250-AE42-8E0BA53B6A03}"/>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2 2 2" xfId="16356" xr:uid="{8972418C-A30A-46FD-A643-FA05DB1A5249}"/>
    <cellStyle name="Normal 9 2 5 3 2 3" xfId="12143" xr:uid="{3226765E-4A8D-4C3F-B5E8-5C2896D05F85}"/>
    <cellStyle name="Normal 9 2 5 3 3" xfId="5716" xr:uid="{00000000-0005-0000-0000-00008C1F0000}"/>
    <cellStyle name="Normal 9 2 5 3 3 2" xfId="14211" xr:uid="{BADC4274-A3EB-4B76-96A0-B4FD6297F0F8}"/>
    <cellStyle name="Normal 9 2 5 3 4" xfId="9998" xr:uid="{0FC38015-9588-4D33-A186-EA1330B12A40}"/>
    <cellStyle name="Normal 9 2 5 4" xfId="1822" xr:uid="{00000000-0005-0000-0000-00008D1F0000}"/>
    <cellStyle name="Normal 9 2 5 4 2" xfId="4052" xr:uid="{00000000-0005-0000-0000-00008E1F0000}"/>
    <cellStyle name="Normal 9 2 5 4 2 2" xfId="8274" xr:uid="{00000000-0005-0000-0000-00008F1F0000}"/>
    <cellStyle name="Normal 9 2 5 4 2 2 2" xfId="16769" xr:uid="{46C083E9-7EC9-4C4E-A101-3CD64F57BC04}"/>
    <cellStyle name="Normal 9 2 5 4 2 3" xfId="12556" xr:uid="{FF1277EB-DC41-4DEC-8B50-2CB469F891BC}"/>
    <cellStyle name="Normal 9 2 5 4 3" xfId="6129" xr:uid="{00000000-0005-0000-0000-0000901F0000}"/>
    <cellStyle name="Normal 9 2 5 4 3 2" xfId="14624" xr:uid="{A38904A4-999D-4E9C-95C3-86AF41D35B34}"/>
    <cellStyle name="Normal 9 2 5 4 4" xfId="10411" xr:uid="{B3C0A56E-9B78-4264-A28E-A7C126E4C51B}"/>
    <cellStyle name="Normal 9 2 5 5" xfId="2236" xr:uid="{00000000-0005-0000-0000-0000911F0000}"/>
    <cellStyle name="Normal 9 2 5 5 2" xfId="4465" xr:uid="{00000000-0005-0000-0000-0000921F0000}"/>
    <cellStyle name="Normal 9 2 5 5 2 2" xfId="8687" xr:uid="{00000000-0005-0000-0000-0000931F0000}"/>
    <cellStyle name="Normal 9 2 5 5 2 2 2" xfId="17182" xr:uid="{A88AF634-2184-4EC5-9B53-5CE62004FD7B}"/>
    <cellStyle name="Normal 9 2 5 5 2 3" xfId="12969" xr:uid="{CFFC2D8E-52F9-4374-A30C-0356D10D064A}"/>
    <cellStyle name="Normal 9 2 5 5 3" xfId="6542" xr:uid="{00000000-0005-0000-0000-0000941F0000}"/>
    <cellStyle name="Normal 9 2 5 5 3 2" xfId="15037" xr:uid="{8002D929-0221-4683-9A12-F1EA17D733E1}"/>
    <cellStyle name="Normal 9 2 5 5 4" xfId="10824" xr:uid="{02C6EA80-EBC0-40B8-BA00-A62AE6E95289}"/>
    <cellStyle name="Normal 9 2 5 6" xfId="2672" xr:uid="{00000000-0005-0000-0000-0000951F0000}"/>
    <cellStyle name="Normal 9 2 5 6 2" xfId="6955" xr:uid="{00000000-0005-0000-0000-0000961F0000}"/>
    <cellStyle name="Normal 9 2 5 6 2 2" xfId="15450" xr:uid="{FB2C2C3C-E348-43BF-B239-0F380AAC066A}"/>
    <cellStyle name="Normal 9 2 5 6 3" xfId="11237" xr:uid="{F8312F00-0C0D-404D-82B0-DC548D724E9B}"/>
    <cellStyle name="Normal 9 2 5 7" xfId="4890" xr:uid="{00000000-0005-0000-0000-0000971F0000}"/>
    <cellStyle name="Normal 9 2 5 7 2" xfId="13385" xr:uid="{B823010E-8B4F-44CC-9E48-5488BA5F386B}"/>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2 2 2" xfId="15928" xr:uid="{BC9C0214-F497-40A8-8BCD-FA37094A8CE8}"/>
    <cellStyle name="Normal 9 2 6 2 3" xfId="11715" xr:uid="{8BFF762D-AB3D-4254-9739-A60455A765AB}"/>
    <cellStyle name="Normal 9 2 6 3" xfId="5288" xr:uid="{00000000-0005-0000-0000-00009B1F0000}"/>
    <cellStyle name="Normal 9 2 6 3 2" xfId="13783" xr:uid="{0A78C778-AB3B-461B-80ED-CA29AB37A6C1}"/>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2 2 2" xfId="16341" xr:uid="{428B99E0-B392-4770-86FF-29056CFE2107}"/>
    <cellStyle name="Normal 9 2 7 2 3" xfId="12128" xr:uid="{E854D602-BE27-4643-93AD-96486DEAD050}"/>
    <cellStyle name="Normal 9 2 7 3" xfId="5701" xr:uid="{00000000-0005-0000-0000-00009F1F0000}"/>
    <cellStyle name="Normal 9 2 7 3 2" xfId="14196" xr:uid="{85ACA7E7-9009-489C-8CB4-42D9E942E39D}"/>
    <cellStyle name="Normal 9 2 7 4" xfId="9983" xr:uid="{D4B870E0-6AD8-428E-9AFC-2C1A8C002A66}"/>
    <cellStyle name="Normal 9 2 8" xfId="1807" xr:uid="{00000000-0005-0000-0000-0000A01F0000}"/>
    <cellStyle name="Normal 9 2 8 2" xfId="4037" xr:uid="{00000000-0005-0000-0000-0000A11F0000}"/>
    <cellStyle name="Normal 9 2 8 2 2" xfId="8259" xr:uid="{00000000-0005-0000-0000-0000A21F0000}"/>
    <cellStyle name="Normal 9 2 8 2 2 2" xfId="16754" xr:uid="{74B66C6E-D5FB-434F-9431-BADA52CA12E6}"/>
    <cellStyle name="Normal 9 2 8 2 3" xfId="12541" xr:uid="{B955FF45-2799-4E1B-B7E8-1A18AF22BDE9}"/>
    <cellStyle name="Normal 9 2 8 3" xfId="6114" xr:uid="{00000000-0005-0000-0000-0000A31F0000}"/>
    <cellStyle name="Normal 9 2 8 3 2" xfId="14609" xr:uid="{1E0412FD-BB17-4D9A-B033-D2F06783ECC7}"/>
    <cellStyle name="Normal 9 2 8 4" xfId="10396" xr:uid="{C30F71F9-FBFC-43D9-B16E-077EA7635D64}"/>
    <cellStyle name="Normal 9 2 9" xfId="2221" xr:uid="{00000000-0005-0000-0000-0000A41F0000}"/>
    <cellStyle name="Normal 9 2 9 2" xfId="4450" xr:uid="{00000000-0005-0000-0000-0000A51F0000}"/>
    <cellStyle name="Normal 9 2 9 2 2" xfId="8672" xr:uid="{00000000-0005-0000-0000-0000A61F0000}"/>
    <cellStyle name="Normal 9 2 9 2 2 2" xfId="17167" xr:uid="{870DB657-547B-49CE-8159-BF080A5EB8C7}"/>
    <cellStyle name="Normal 9 2 9 2 3" xfId="12954" xr:uid="{900923EA-4340-4076-9484-951EEB0421C1}"/>
    <cellStyle name="Normal 9 2 9 3" xfId="6527" xr:uid="{00000000-0005-0000-0000-0000A71F0000}"/>
    <cellStyle name="Normal 9 2 9 3 2" xfId="15022" xr:uid="{A5881192-183F-4775-86B1-57BAA394778F}"/>
    <cellStyle name="Normal 9 2 9 4" xfId="10809" xr:uid="{26BADC38-A900-4EFF-940E-E7316D283712}"/>
    <cellStyle name="Normal 9 3" xfId="527" xr:uid="{00000000-0005-0000-0000-0000A81F0000}"/>
    <cellStyle name="Normal 9 3 10" xfId="4891" xr:uid="{00000000-0005-0000-0000-0000A91F0000}"/>
    <cellStyle name="Normal 9 3 10 2" xfId="13386" xr:uid="{6731879A-E680-4049-94BF-620AF4F8D64D}"/>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47" xr:uid="{3CBA9125-4E86-4DC5-A1E2-9F55FE2616CC}"/>
    <cellStyle name="Normal 9 3 2 2 2 2 2 3" xfId="11734" xr:uid="{9F3D89D8-E70E-4C82-896E-78EE5B47C9D4}"/>
    <cellStyle name="Normal 9 3 2 2 2 2 3" xfId="5307" xr:uid="{00000000-0005-0000-0000-0000B01F0000}"/>
    <cellStyle name="Normal 9 3 2 2 2 2 3 2" xfId="13802" xr:uid="{4173A91D-3DE9-4CE0-95DD-751C85C18BA1}"/>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60" xr:uid="{F7073653-F07A-4456-927C-301B71B5C0C8}"/>
    <cellStyle name="Normal 9 3 2 2 2 3 2 3" xfId="12147" xr:uid="{9A615CDE-9A7E-4956-9EFE-69FAC56C6DD8}"/>
    <cellStyle name="Normal 9 3 2 2 2 3 3" xfId="5720" xr:uid="{00000000-0005-0000-0000-0000B41F0000}"/>
    <cellStyle name="Normal 9 3 2 2 2 3 3 2" xfId="14215" xr:uid="{F3012DF3-DE17-48B2-A2F8-43ACCDCCFA77}"/>
    <cellStyle name="Normal 9 3 2 2 2 3 4" xfId="10002" xr:uid="{39B355A7-B0D6-4A21-BDDF-BC329A0AEE51}"/>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73" xr:uid="{DFA5048C-BADF-4933-95CC-71B4B53867E5}"/>
    <cellStyle name="Normal 9 3 2 2 2 4 2 3" xfId="12560" xr:uid="{85325E64-9877-4EEA-972A-D86EE120292C}"/>
    <cellStyle name="Normal 9 3 2 2 2 4 3" xfId="6133" xr:uid="{00000000-0005-0000-0000-0000B81F0000}"/>
    <cellStyle name="Normal 9 3 2 2 2 4 3 2" xfId="14628" xr:uid="{D16E75CC-DE06-4801-A8CE-A67AD17D8E54}"/>
    <cellStyle name="Normal 9 3 2 2 2 4 4" xfId="10415" xr:uid="{CADB8B45-9F0A-455A-A98D-B58899847157}"/>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86" xr:uid="{DABD33D5-19C7-45DC-972A-E58BA77892A4}"/>
    <cellStyle name="Normal 9 3 2 2 2 5 2 3" xfId="12973" xr:uid="{C7FB9E29-79EB-4627-BD66-BAFF46E2FDF1}"/>
    <cellStyle name="Normal 9 3 2 2 2 5 3" xfId="6546" xr:uid="{00000000-0005-0000-0000-0000BC1F0000}"/>
    <cellStyle name="Normal 9 3 2 2 2 5 3 2" xfId="15041" xr:uid="{D4116673-13C6-48B6-B1B4-00F1F524F741}"/>
    <cellStyle name="Normal 9 3 2 2 2 5 4" xfId="10828" xr:uid="{4086AA78-7035-4D8B-A31B-8D80E25DE081}"/>
    <cellStyle name="Normal 9 3 2 2 2 6" xfId="2676" xr:uid="{00000000-0005-0000-0000-0000BD1F0000}"/>
    <cellStyle name="Normal 9 3 2 2 2 6 2" xfId="6959" xr:uid="{00000000-0005-0000-0000-0000BE1F0000}"/>
    <cellStyle name="Normal 9 3 2 2 2 6 2 2" xfId="15454" xr:uid="{40F7AA6E-6F90-4C81-869A-0C6BF199A39C}"/>
    <cellStyle name="Normal 9 3 2 2 2 6 3" xfId="11241" xr:uid="{E7617D8A-F0D6-4AA2-8265-52E93B497C27}"/>
    <cellStyle name="Normal 9 3 2 2 2 7" xfId="4894" xr:uid="{00000000-0005-0000-0000-0000BF1F0000}"/>
    <cellStyle name="Normal 9 3 2 2 2 7 2" xfId="13389" xr:uid="{41A70979-A662-4D23-9B24-E39443A962E1}"/>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46" xr:uid="{384E3895-38EA-497C-AB36-CD71AA682D51}"/>
    <cellStyle name="Normal 9 3 2 2 3 2 3" xfId="11733" xr:uid="{F5693B83-555B-4D58-8DAA-99CA0C0C1A91}"/>
    <cellStyle name="Normal 9 3 2 2 3 3" xfId="5306" xr:uid="{00000000-0005-0000-0000-0000C31F0000}"/>
    <cellStyle name="Normal 9 3 2 2 3 3 2" xfId="13801" xr:uid="{E8B7C1A6-DE24-4B13-BC3C-61E66E04940A}"/>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59" xr:uid="{48487C85-5289-41F1-831D-07EA4648EDBB}"/>
    <cellStyle name="Normal 9 3 2 2 4 2 3" xfId="12146" xr:uid="{AE5E23C5-A3E6-4B97-AFE2-AE1D2A88FD3C}"/>
    <cellStyle name="Normal 9 3 2 2 4 3" xfId="5719" xr:uid="{00000000-0005-0000-0000-0000C71F0000}"/>
    <cellStyle name="Normal 9 3 2 2 4 3 2" xfId="14214" xr:uid="{3D286447-F521-4932-9AE8-EC8D7127E11C}"/>
    <cellStyle name="Normal 9 3 2 2 4 4" xfId="10001" xr:uid="{C4CE4E97-51D6-40D3-BC7D-3448148CC37A}"/>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72" xr:uid="{0CE1F313-801B-4B99-B1B0-94FC6FA6C386}"/>
    <cellStyle name="Normal 9 3 2 2 5 2 3" xfId="12559" xr:uid="{A7C8AB0A-8338-4D71-AB92-52E1DFB2F000}"/>
    <cellStyle name="Normal 9 3 2 2 5 3" xfId="6132" xr:uid="{00000000-0005-0000-0000-0000CB1F0000}"/>
    <cellStyle name="Normal 9 3 2 2 5 3 2" xfId="14627" xr:uid="{4BB1BE80-F98C-49F6-A342-84C956D0F3CC}"/>
    <cellStyle name="Normal 9 3 2 2 5 4" xfId="10414" xr:uid="{2397E5F0-2049-4B83-BE4A-D9786114C833}"/>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85" xr:uid="{01B82EFD-5FF4-4DCD-9D9E-087A3207DEF3}"/>
    <cellStyle name="Normal 9 3 2 2 6 2 3" xfId="12972" xr:uid="{92F68AAC-0CDE-4666-B1F8-DBE28C382F74}"/>
    <cellStyle name="Normal 9 3 2 2 6 3" xfId="6545" xr:uid="{00000000-0005-0000-0000-0000CF1F0000}"/>
    <cellStyle name="Normal 9 3 2 2 6 3 2" xfId="15040" xr:uid="{96657EF3-A835-45CC-AC01-2F1E0BF90162}"/>
    <cellStyle name="Normal 9 3 2 2 6 4" xfId="10827" xr:uid="{4782D53F-CE80-486B-859E-9A53F69DCC52}"/>
    <cellStyle name="Normal 9 3 2 2 7" xfId="2675" xr:uid="{00000000-0005-0000-0000-0000D01F0000}"/>
    <cellStyle name="Normal 9 3 2 2 7 2" xfId="6958" xr:uid="{00000000-0005-0000-0000-0000D11F0000}"/>
    <cellStyle name="Normal 9 3 2 2 7 2 2" xfId="15453" xr:uid="{26DAADBE-40C2-42BD-9F90-207E06770482}"/>
    <cellStyle name="Normal 9 3 2 2 7 3" xfId="11240" xr:uid="{4972E4AF-D401-4CD1-9E8C-4983000A6A49}"/>
    <cellStyle name="Normal 9 3 2 2 8" xfId="4893" xr:uid="{00000000-0005-0000-0000-0000D21F0000}"/>
    <cellStyle name="Normal 9 3 2 2 8 2" xfId="13388" xr:uid="{8CC943F8-2379-450B-9DE8-C6C57B91C63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48" xr:uid="{2A918339-5E9A-4690-A01C-BBB9EAC6242C}"/>
    <cellStyle name="Normal 9 3 2 3 2 2 3" xfId="11735" xr:uid="{52A1777D-28E9-474E-88BE-9356AF2E8A18}"/>
    <cellStyle name="Normal 9 3 2 3 2 3" xfId="5308" xr:uid="{00000000-0005-0000-0000-0000D71F0000}"/>
    <cellStyle name="Normal 9 3 2 3 2 3 2" xfId="13803" xr:uid="{28C51BFB-8906-4D75-A18F-DC7D4EAFA124}"/>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61" xr:uid="{7BA230C2-6219-48BE-973E-926294AE9F70}"/>
    <cellStyle name="Normal 9 3 2 3 3 2 3" xfId="12148" xr:uid="{5E81695C-F64B-48F3-8CE5-22E0D4FCE465}"/>
    <cellStyle name="Normal 9 3 2 3 3 3" xfId="5721" xr:uid="{00000000-0005-0000-0000-0000DB1F0000}"/>
    <cellStyle name="Normal 9 3 2 3 3 3 2" xfId="14216" xr:uid="{280B03A5-91E5-4D33-A139-8B7DB275B53C}"/>
    <cellStyle name="Normal 9 3 2 3 3 4" xfId="10003" xr:uid="{FCD7C744-8375-4F8E-A93B-B91192CF9C60}"/>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74" xr:uid="{4B47F6F5-4EFD-4CDF-BFB2-0E1D2A2DDB2F}"/>
    <cellStyle name="Normal 9 3 2 3 4 2 3" xfId="12561" xr:uid="{5D873C21-F6ED-43BA-BA88-E9777F713F7D}"/>
    <cellStyle name="Normal 9 3 2 3 4 3" xfId="6134" xr:uid="{00000000-0005-0000-0000-0000DF1F0000}"/>
    <cellStyle name="Normal 9 3 2 3 4 3 2" xfId="14629" xr:uid="{17B25FE9-B353-45BD-860A-8BD1116BEBE8}"/>
    <cellStyle name="Normal 9 3 2 3 4 4" xfId="10416" xr:uid="{A2289D4A-8EE0-4B72-A3AA-7EE5FCF5CE35}"/>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87" xr:uid="{9F4C1467-0EDA-4D4A-BB0D-42B31B8E0D2C}"/>
    <cellStyle name="Normal 9 3 2 3 5 2 3" xfId="12974" xr:uid="{FA95B11A-1341-4720-AA35-0E553E9A9B42}"/>
    <cellStyle name="Normal 9 3 2 3 5 3" xfId="6547" xr:uid="{00000000-0005-0000-0000-0000E31F0000}"/>
    <cellStyle name="Normal 9 3 2 3 5 3 2" xfId="15042" xr:uid="{4AC4C638-F6B6-47FE-B9F5-94BB84F8C8BF}"/>
    <cellStyle name="Normal 9 3 2 3 5 4" xfId="10829" xr:uid="{01FD5309-2D1A-4DED-A4FB-74FF81478B8E}"/>
    <cellStyle name="Normal 9 3 2 3 6" xfId="2677" xr:uid="{00000000-0005-0000-0000-0000E41F0000}"/>
    <cellStyle name="Normal 9 3 2 3 6 2" xfId="6960" xr:uid="{00000000-0005-0000-0000-0000E51F0000}"/>
    <cellStyle name="Normal 9 3 2 3 6 2 2" xfId="15455" xr:uid="{7C42332A-39AC-423E-AB7F-087AB0E5C2C2}"/>
    <cellStyle name="Normal 9 3 2 3 6 3" xfId="11242" xr:uid="{BA301238-C64B-4382-92FD-4AAA11745143}"/>
    <cellStyle name="Normal 9 3 2 3 7" xfId="4895" xr:uid="{00000000-0005-0000-0000-0000E61F0000}"/>
    <cellStyle name="Normal 9 3 2 3 7 2" xfId="13390" xr:uid="{4FA0C065-BFC8-4728-93B5-E7D17F2E34DD}"/>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2 2 2" xfId="15945" xr:uid="{425ED00C-D844-4B64-B49A-77134B6ACE16}"/>
    <cellStyle name="Normal 9 3 2 4 2 3" xfId="11732" xr:uid="{0C4E9E93-7F78-4D60-A5D7-189F8ABA9BE1}"/>
    <cellStyle name="Normal 9 3 2 4 3" xfId="5305" xr:uid="{00000000-0005-0000-0000-0000EA1F0000}"/>
    <cellStyle name="Normal 9 3 2 4 3 2" xfId="13800" xr:uid="{25B80E51-436C-43DD-B9AA-6F993C72CE5B}"/>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2 2 2" xfId="16358" xr:uid="{01C6D3E1-954D-4248-AAB3-30F35A119A9F}"/>
    <cellStyle name="Normal 9 3 2 5 2 3" xfId="12145" xr:uid="{874E95C9-8B02-4448-A836-146F3B1B601B}"/>
    <cellStyle name="Normal 9 3 2 5 3" xfId="5718" xr:uid="{00000000-0005-0000-0000-0000EE1F0000}"/>
    <cellStyle name="Normal 9 3 2 5 3 2" xfId="14213" xr:uid="{0CD41568-595D-466D-9B40-08E269A9022A}"/>
    <cellStyle name="Normal 9 3 2 5 4" xfId="10000" xr:uid="{0F5666C5-2D70-4554-B0AD-2271097B8BD3}"/>
    <cellStyle name="Normal 9 3 2 6" xfId="1824" xr:uid="{00000000-0005-0000-0000-0000EF1F0000}"/>
    <cellStyle name="Normal 9 3 2 6 2" xfId="4054" xr:uid="{00000000-0005-0000-0000-0000F01F0000}"/>
    <cellStyle name="Normal 9 3 2 6 2 2" xfId="8276" xr:uid="{00000000-0005-0000-0000-0000F11F0000}"/>
    <cellStyle name="Normal 9 3 2 6 2 2 2" xfId="16771" xr:uid="{26FA0CB6-6A55-4738-8627-49120434F576}"/>
    <cellStyle name="Normal 9 3 2 6 2 3" xfId="12558" xr:uid="{6901ACB2-A81C-48B2-A330-88A8D3914ABA}"/>
    <cellStyle name="Normal 9 3 2 6 3" xfId="6131" xr:uid="{00000000-0005-0000-0000-0000F21F0000}"/>
    <cellStyle name="Normal 9 3 2 6 3 2" xfId="14626" xr:uid="{DE2139F5-225B-4B6C-91EC-C0C76B950F0E}"/>
    <cellStyle name="Normal 9 3 2 6 4" xfId="10413" xr:uid="{14D7C2D2-A73F-4F0E-B60D-902C9CB4152C}"/>
    <cellStyle name="Normal 9 3 2 7" xfId="2238" xr:uid="{00000000-0005-0000-0000-0000F31F0000}"/>
    <cellStyle name="Normal 9 3 2 7 2" xfId="4467" xr:uid="{00000000-0005-0000-0000-0000F41F0000}"/>
    <cellStyle name="Normal 9 3 2 7 2 2" xfId="8689" xr:uid="{00000000-0005-0000-0000-0000F51F0000}"/>
    <cellStyle name="Normal 9 3 2 7 2 2 2" xfId="17184" xr:uid="{27169C31-142A-4FE0-8FD2-EAA312BB5FC4}"/>
    <cellStyle name="Normal 9 3 2 7 2 3" xfId="12971" xr:uid="{01A83E3D-19BA-4D00-961D-C535463836EC}"/>
    <cellStyle name="Normal 9 3 2 7 3" xfId="6544" xr:uid="{00000000-0005-0000-0000-0000F61F0000}"/>
    <cellStyle name="Normal 9 3 2 7 3 2" xfId="15039" xr:uid="{740ABCDD-A084-4D82-92F0-CC1D71B5446E}"/>
    <cellStyle name="Normal 9 3 2 7 4" xfId="10826" xr:uid="{D518BFDD-E640-43A0-8B60-D29DC6CA3E39}"/>
    <cellStyle name="Normal 9 3 2 8" xfId="2674" xr:uid="{00000000-0005-0000-0000-0000F71F0000}"/>
    <cellStyle name="Normal 9 3 2 8 2" xfId="6957" xr:uid="{00000000-0005-0000-0000-0000F81F0000}"/>
    <cellStyle name="Normal 9 3 2 8 2 2" xfId="15452" xr:uid="{054295BC-FFA8-423E-8ED1-E5A0EEF7CB11}"/>
    <cellStyle name="Normal 9 3 2 8 3" xfId="11239" xr:uid="{D0CB52B5-4D6C-4CCA-AB24-33E8E2CC5D18}"/>
    <cellStyle name="Normal 9 3 2 9" xfId="4892" xr:uid="{00000000-0005-0000-0000-0000F91F0000}"/>
    <cellStyle name="Normal 9 3 2 9 2" xfId="13387" xr:uid="{83DCDE92-72E8-439B-AAA7-6F8EFF2224FF}"/>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50" xr:uid="{CAC63F65-B350-47C9-9181-074946DC23FB}"/>
    <cellStyle name="Normal 9 3 3 2 2 2 3" xfId="11737" xr:uid="{49A8334B-1EE4-457E-803D-FCCEE9C6E2A1}"/>
    <cellStyle name="Normal 9 3 3 2 2 3" xfId="5310" xr:uid="{00000000-0005-0000-0000-0000FF1F0000}"/>
    <cellStyle name="Normal 9 3 3 2 2 3 2" xfId="13805" xr:uid="{4B6995F2-E7C2-4F3B-9FBF-7D078E2F1C38}"/>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63" xr:uid="{029BC1F8-5A10-417D-892E-230D86097460}"/>
    <cellStyle name="Normal 9 3 3 2 3 2 3" xfId="12150" xr:uid="{4F43F328-67D7-4717-A7E0-46723E287109}"/>
    <cellStyle name="Normal 9 3 3 2 3 3" xfId="5723" xr:uid="{00000000-0005-0000-0000-000003200000}"/>
    <cellStyle name="Normal 9 3 3 2 3 3 2" xfId="14218" xr:uid="{106FE5FC-9D15-41BB-B786-53E291588897}"/>
    <cellStyle name="Normal 9 3 3 2 3 4" xfId="10005" xr:uid="{7EC4822D-D9D5-47AE-AB0F-A1F28122A0F6}"/>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76" xr:uid="{84FFECCE-3C84-441A-AB16-C40C48715E7E}"/>
    <cellStyle name="Normal 9 3 3 2 4 2 3" xfId="12563" xr:uid="{0C34C43C-4F18-42F0-B237-5ED8D01D8F35}"/>
    <cellStyle name="Normal 9 3 3 2 4 3" xfId="6136" xr:uid="{00000000-0005-0000-0000-000007200000}"/>
    <cellStyle name="Normal 9 3 3 2 4 3 2" xfId="14631" xr:uid="{DD0ABEC2-781D-4064-A3F8-BF7EB2D408AE}"/>
    <cellStyle name="Normal 9 3 3 2 4 4" xfId="10418" xr:uid="{E3AEBCF4-AC3C-47A2-9E51-C934C013EA87}"/>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89" xr:uid="{FFA3E86F-D352-4FA6-A95B-C2C57171492A}"/>
    <cellStyle name="Normal 9 3 3 2 5 2 3" xfId="12976" xr:uid="{C893DBE5-25E8-4C95-9243-9AF1840D8177}"/>
    <cellStyle name="Normal 9 3 3 2 5 3" xfId="6549" xr:uid="{00000000-0005-0000-0000-00000B200000}"/>
    <cellStyle name="Normal 9 3 3 2 5 3 2" xfId="15044" xr:uid="{D79C44DD-B3F5-40B0-8CB8-C1F19AA9DBF8}"/>
    <cellStyle name="Normal 9 3 3 2 5 4" xfId="10831" xr:uid="{18EAF058-D754-4110-BBDB-EE6A1BBF1CE7}"/>
    <cellStyle name="Normal 9 3 3 2 6" xfId="2679" xr:uid="{00000000-0005-0000-0000-00000C200000}"/>
    <cellStyle name="Normal 9 3 3 2 6 2" xfId="6962" xr:uid="{00000000-0005-0000-0000-00000D200000}"/>
    <cellStyle name="Normal 9 3 3 2 6 2 2" xfId="15457" xr:uid="{B2580B3B-1DD8-4316-B62A-160DE82A0302}"/>
    <cellStyle name="Normal 9 3 3 2 6 3" xfId="11244" xr:uid="{B8B504BC-FF83-4B5B-BCF9-967B1011C1FF}"/>
    <cellStyle name="Normal 9 3 3 2 7" xfId="4897" xr:uid="{00000000-0005-0000-0000-00000E200000}"/>
    <cellStyle name="Normal 9 3 3 2 7 2" xfId="13392" xr:uid="{2D7617F0-FDFE-4AB9-8A49-B1E74B6601A9}"/>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2 2 2" xfId="15949" xr:uid="{0EADF8DE-08F8-4FA3-A67E-6DB5CCBAEE1F}"/>
    <cellStyle name="Normal 9 3 3 3 2 3" xfId="11736" xr:uid="{47C90FF5-93DA-4419-AB6D-C4722C85B720}"/>
    <cellStyle name="Normal 9 3 3 3 3" xfId="5309" xr:uid="{00000000-0005-0000-0000-000012200000}"/>
    <cellStyle name="Normal 9 3 3 3 3 2" xfId="13804" xr:uid="{461B2B86-38C8-42B9-8575-A9A0031D2616}"/>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2 2 2" xfId="16362" xr:uid="{7F455524-C32E-4749-BC4F-F0DC6CF29926}"/>
    <cellStyle name="Normal 9 3 3 4 2 3" xfId="12149" xr:uid="{E569D000-9239-4370-B5B5-88038CDC860B}"/>
    <cellStyle name="Normal 9 3 3 4 3" xfId="5722" xr:uid="{00000000-0005-0000-0000-000016200000}"/>
    <cellStyle name="Normal 9 3 3 4 3 2" xfId="14217" xr:uid="{C0AB093B-B930-46F6-8BD0-89DE806424D7}"/>
    <cellStyle name="Normal 9 3 3 4 4" xfId="10004" xr:uid="{EED41FBC-FB01-47DF-B1DD-BB4F55A16C8D}"/>
    <cellStyle name="Normal 9 3 3 5" xfId="1828" xr:uid="{00000000-0005-0000-0000-000017200000}"/>
    <cellStyle name="Normal 9 3 3 5 2" xfId="4058" xr:uid="{00000000-0005-0000-0000-000018200000}"/>
    <cellStyle name="Normal 9 3 3 5 2 2" xfId="8280" xr:uid="{00000000-0005-0000-0000-000019200000}"/>
    <cellStyle name="Normal 9 3 3 5 2 2 2" xfId="16775" xr:uid="{845A1C93-CF58-4C8E-8BEC-95810C18B57F}"/>
    <cellStyle name="Normal 9 3 3 5 2 3" xfId="12562" xr:uid="{7B490B37-236B-4CF7-9097-B98D22A6F883}"/>
    <cellStyle name="Normal 9 3 3 5 3" xfId="6135" xr:uid="{00000000-0005-0000-0000-00001A200000}"/>
    <cellStyle name="Normal 9 3 3 5 3 2" xfId="14630" xr:uid="{0E4D2964-E54C-4B25-AD68-449A348C3F72}"/>
    <cellStyle name="Normal 9 3 3 5 4" xfId="10417" xr:uid="{141B24A4-0446-4612-A8C2-0E7983EF87C3}"/>
    <cellStyle name="Normal 9 3 3 6" xfId="2242" xr:uid="{00000000-0005-0000-0000-00001B200000}"/>
    <cellStyle name="Normal 9 3 3 6 2" xfId="4471" xr:uid="{00000000-0005-0000-0000-00001C200000}"/>
    <cellStyle name="Normal 9 3 3 6 2 2" xfId="8693" xr:uid="{00000000-0005-0000-0000-00001D200000}"/>
    <cellStyle name="Normal 9 3 3 6 2 2 2" xfId="17188" xr:uid="{2E1D3F89-F532-4D1F-BF4F-EFD617502B29}"/>
    <cellStyle name="Normal 9 3 3 6 2 3" xfId="12975" xr:uid="{2BFB0474-0660-4965-A2AC-7AB86F2D82AA}"/>
    <cellStyle name="Normal 9 3 3 6 3" xfId="6548" xr:uid="{00000000-0005-0000-0000-00001E200000}"/>
    <cellStyle name="Normal 9 3 3 6 3 2" xfId="15043" xr:uid="{AF74E6A5-5FD2-42F4-A2D8-5F146E60441B}"/>
    <cellStyle name="Normal 9 3 3 6 4" xfId="10830" xr:uid="{CD218E3F-770E-4BE7-B9BA-16BABA368E6C}"/>
    <cellStyle name="Normal 9 3 3 7" xfId="2678" xr:uid="{00000000-0005-0000-0000-00001F200000}"/>
    <cellStyle name="Normal 9 3 3 7 2" xfId="6961" xr:uid="{00000000-0005-0000-0000-000020200000}"/>
    <cellStyle name="Normal 9 3 3 7 2 2" xfId="15456" xr:uid="{01280876-1C26-4CEE-8D23-17177C4656CA}"/>
    <cellStyle name="Normal 9 3 3 7 3" xfId="11243" xr:uid="{58E68814-9AEA-4837-9405-617FC1C87035}"/>
    <cellStyle name="Normal 9 3 3 8" xfId="4896" xr:uid="{00000000-0005-0000-0000-000021200000}"/>
    <cellStyle name="Normal 9 3 3 8 2" xfId="13391" xr:uid="{6E6A5310-A801-4794-8510-CD097B3232B7}"/>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51" xr:uid="{D46E7414-F1DC-45E2-8425-888435455B6C}"/>
    <cellStyle name="Normal 9 3 4 2 2 3" xfId="11738" xr:uid="{B6CB37A9-8885-4D17-AF82-B35CAB5361C9}"/>
    <cellStyle name="Normal 9 3 4 2 3" xfId="5311" xr:uid="{00000000-0005-0000-0000-000026200000}"/>
    <cellStyle name="Normal 9 3 4 2 3 2" xfId="13806" xr:uid="{853DF8E0-EB27-4105-A16F-6DD01408CEEC}"/>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2 2 2" xfId="16364" xr:uid="{4DB5B6EE-F1FB-4CAA-AC9E-F8D11C2E8781}"/>
    <cellStyle name="Normal 9 3 4 3 2 3" xfId="12151" xr:uid="{CD00DB96-2A31-4A78-B03B-877750A71B28}"/>
    <cellStyle name="Normal 9 3 4 3 3" xfId="5724" xr:uid="{00000000-0005-0000-0000-00002A200000}"/>
    <cellStyle name="Normal 9 3 4 3 3 2" xfId="14219" xr:uid="{5BBB609A-020A-4058-A806-9279C0D45367}"/>
    <cellStyle name="Normal 9 3 4 3 4" xfId="10006" xr:uid="{B31065ED-B7F6-493C-B084-D48CD9B55C49}"/>
    <cellStyle name="Normal 9 3 4 4" xfId="1830" xr:uid="{00000000-0005-0000-0000-00002B200000}"/>
    <cellStyle name="Normal 9 3 4 4 2" xfId="4060" xr:uid="{00000000-0005-0000-0000-00002C200000}"/>
    <cellStyle name="Normal 9 3 4 4 2 2" xfId="8282" xr:uid="{00000000-0005-0000-0000-00002D200000}"/>
    <cellStyle name="Normal 9 3 4 4 2 2 2" xfId="16777" xr:uid="{82B21B02-94E7-42FB-A81F-63125D670D44}"/>
    <cellStyle name="Normal 9 3 4 4 2 3" xfId="12564" xr:uid="{A19D85A9-4743-44AA-BB11-FB45D63D1E8F}"/>
    <cellStyle name="Normal 9 3 4 4 3" xfId="6137" xr:uid="{00000000-0005-0000-0000-00002E200000}"/>
    <cellStyle name="Normal 9 3 4 4 3 2" xfId="14632" xr:uid="{96831FD9-0BE4-47BC-A388-0E827E16E614}"/>
    <cellStyle name="Normal 9 3 4 4 4" xfId="10419" xr:uid="{28F367D0-6906-4CC0-BC31-AA6FC4CFFBB2}"/>
    <cellStyle name="Normal 9 3 4 5" xfId="2244" xr:uid="{00000000-0005-0000-0000-00002F200000}"/>
    <cellStyle name="Normal 9 3 4 5 2" xfId="4473" xr:uid="{00000000-0005-0000-0000-000030200000}"/>
    <cellStyle name="Normal 9 3 4 5 2 2" xfId="8695" xr:uid="{00000000-0005-0000-0000-000031200000}"/>
    <cellStyle name="Normal 9 3 4 5 2 2 2" xfId="17190" xr:uid="{0EECE003-0A32-4E51-BC14-CFE2E2E21523}"/>
    <cellStyle name="Normal 9 3 4 5 2 3" xfId="12977" xr:uid="{2EE1D1D5-66F3-40B1-B48E-5DACA9F3B5A2}"/>
    <cellStyle name="Normal 9 3 4 5 3" xfId="6550" xr:uid="{00000000-0005-0000-0000-000032200000}"/>
    <cellStyle name="Normal 9 3 4 5 3 2" xfId="15045" xr:uid="{462A2701-5D79-42B9-8A99-EC04ECF71FFC}"/>
    <cellStyle name="Normal 9 3 4 5 4" xfId="10832" xr:uid="{3D798FBB-148A-496F-8652-E134E61791C6}"/>
    <cellStyle name="Normal 9 3 4 6" xfId="2680" xr:uid="{00000000-0005-0000-0000-000033200000}"/>
    <cellStyle name="Normal 9 3 4 6 2" xfId="6963" xr:uid="{00000000-0005-0000-0000-000034200000}"/>
    <cellStyle name="Normal 9 3 4 6 2 2" xfId="15458" xr:uid="{A6552C59-48C2-44ED-B26B-3E8080FB7BF8}"/>
    <cellStyle name="Normal 9 3 4 6 3" xfId="11245" xr:uid="{FD35C58B-2F8D-4F0E-B89A-954F223397A3}"/>
    <cellStyle name="Normal 9 3 4 7" xfId="4898" xr:uid="{00000000-0005-0000-0000-000035200000}"/>
    <cellStyle name="Normal 9 3 4 7 2" xfId="13393" xr:uid="{145709E9-ED25-4F1E-A7A5-8ED49BDBD326}"/>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2 2 2" xfId="15944" xr:uid="{1F73DF10-D503-4096-A0D5-0C57DC251950}"/>
    <cellStyle name="Normal 9 3 5 2 3" xfId="11731" xr:uid="{A4AAD0DA-4E66-4864-BD24-39F923A74660}"/>
    <cellStyle name="Normal 9 3 5 3" xfId="5304" xr:uid="{00000000-0005-0000-0000-000039200000}"/>
    <cellStyle name="Normal 9 3 5 3 2" xfId="13799" xr:uid="{C0C1D743-10CE-4FFE-9412-87C5E80197CF}"/>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2 2 2" xfId="16357" xr:uid="{E0EE918C-D39B-4E53-AA50-B2DDF533930D}"/>
    <cellStyle name="Normal 9 3 6 2 3" xfId="12144" xr:uid="{F922D01C-5F1C-4959-809D-C0A85E9C3F95}"/>
    <cellStyle name="Normal 9 3 6 3" xfId="5717" xr:uid="{00000000-0005-0000-0000-00003D200000}"/>
    <cellStyle name="Normal 9 3 6 3 2" xfId="14212" xr:uid="{98C1FFA6-C04F-435A-929E-AB072DCD9346}"/>
    <cellStyle name="Normal 9 3 6 4" xfId="9999" xr:uid="{7112A877-7CE8-49F7-995F-9EA3BC14D699}"/>
    <cellStyle name="Normal 9 3 7" xfId="1823" xr:uid="{00000000-0005-0000-0000-00003E200000}"/>
    <cellStyle name="Normal 9 3 7 2" xfId="4053" xr:uid="{00000000-0005-0000-0000-00003F200000}"/>
    <cellStyle name="Normal 9 3 7 2 2" xfId="8275" xr:uid="{00000000-0005-0000-0000-000040200000}"/>
    <cellStyle name="Normal 9 3 7 2 2 2" xfId="16770" xr:uid="{8CFC6081-BA0E-4365-9C2D-563E5303C168}"/>
    <cellStyle name="Normal 9 3 7 2 3" xfId="12557" xr:uid="{ECA8E6B8-47F2-435D-8D26-F65D1D40B52A}"/>
    <cellStyle name="Normal 9 3 7 3" xfId="6130" xr:uid="{00000000-0005-0000-0000-000041200000}"/>
    <cellStyle name="Normal 9 3 7 3 2" xfId="14625" xr:uid="{84C4F126-B66F-46AF-9D22-0B9A4D9B34EA}"/>
    <cellStyle name="Normal 9 3 7 4" xfId="10412" xr:uid="{FB251E54-1185-44C0-9459-B76839064461}"/>
    <cellStyle name="Normal 9 3 8" xfId="2237" xr:uid="{00000000-0005-0000-0000-000042200000}"/>
    <cellStyle name="Normal 9 3 8 2" xfId="4466" xr:uid="{00000000-0005-0000-0000-000043200000}"/>
    <cellStyle name="Normal 9 3 8 2 2" xfId="8688" xr:uid="{00000000-0005-0000-0000-000044200000}"/>
    <cellStyle name="Normal 9 3 8 2 2 2" xfId="17183" xr:uid="{D1A80FB0-5C7F-4DB8-BF14-31E53002F053}"/>
    <cellStyle name="Normal 9 3 8 2 3" xfId="12970" xr:uid="{E24C65B5-BF9C-47C4-AA78-E37D54F24461}"/>
    <cellStyle name="Normal 9 3 8 3" xfId="6543" xr:uid="{00000000-0005-0000-0000-000045200000}"/>
    <cellStyle name="Normal 9 3 8 3 2" xfId="15038" xr:uid="{43473150-8790-41BA-8C04-6D36C9A6E4E8}"/>
    <cellStyle name="Normal 9 3 8 4" xfId="10825" xr:uid="{4E546000-06C3-4D0D-9BD4-44411AEE7EF0}"/>
    <cellStyle name="Normal 9 3 9" xfId="2673" xr:uid="{00000000-0005-0000-0000-000046200000}"/>
    <cellStyle name="Normal 9 3 9 2" xfId="6956" xr:uid="{00000000-0005-0000-0000-000047200000}"/>
    <cellStyle name="Normal 9 3 9 2 2" xfId="15451" xr:uid="{1F6E71CD-E6B2-4D5E-8132-CDE389E07D73}"/>
    <cellStyle name="Normal 9 3 9 3" xfId="11238" xr:uid="{A6A163AE-7717-413F-8142-6E7094CDD94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53" xr:uid="{1233EC20-A5BD-40B7-BCB8-7B225380B8FA}"/>
    <cellStyle name="Normal 9 5 2 2 2 3" xfId="11740" xr:uid="{A95010F7-FC34-49AE-A97F-5E62D3066E91}"/>
    <cellStyle name="Normal 9 5 2 2 3" xfId="5313" xr:uid="{00000000-0005-0000-0000-00004F200000}"/>
    <cellStyle name="Normal 9 5 2 2 3 2" xfId="13808" xr:uid="{3A585707-2BAD-40F5-A207-A7558D4C420D}"/>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2 2 2" xfId="16366" xr:uid="{C12B4CEA-1BF8-4349-BB1A-B78A7967A0A0}"/>
    <cellStyle name="Normal 9 5 2 3 2 3" xfId="12153" xr:uid="{E3576986-16A7-4D18-96BB-1C763CDF1C0E}"/>
    <cellStyle name="Normal 9 5 2 3 3" xfId="5726" xr:uid="{00000000-0005-0000-0000-000053200000}"/>
    <cellStyle name="Normal 9 5 2 3 3 2" xfId="14221" xr:uid="{80CEC320-E251-4CB5-B05C-10850A0D215E}"/>
    <cellStyle name="Normal 9 5 2 3 4" xfId="10008" xr:uid="{BFD2B4B9-358A-4C73-B5F8-C416D65DF180}"/>
    <cellStyle name="Normal 9 5 2 4" xfId="1832" xr:uid="{00000000-0005-0000-0000-000054200000}"/>
    <cellStyle name="Normal 9 5 2 4 2" xfId="4062" xr:uid="{00000000-0005-0000-0000-000055200000}"/>
    <cellStyle name="Normal 9 5 2 4 2 2" xfId="8284" xr:uid="{00000000-0005-0000-0000-000056200000}"/>
    <cellStyle name="Normal 9 5 2 4 2 2 2" xfId="16779" xr:uid="{275CB0DF-EE55-4EB5-AC2F-81EDA09C4FE5}"/>
    <cellStyle name="Normal 9 5 2 4 2 3" xfId="12566" xr:uid="{EBB6C675-5D9E-440E-BCCE-60DAC72642A1}"/>
    <cellStyle name="Normal 9 5 2 4 3" xfId="6139" xr:uid="{00000000-0005-0000-0000-000057200000}"/>
    <cellStyle name="Normal 9 5 2 4 3 2" xfId="14634" xr:uid="{046602C1-DC43-4A5C-BE56-C0046DE65EE0}"/>
    <cellStyle name="Normal 9 5 2 4 4" xfId="10421" xr:uid="{838E2C68-F044-46E8-996A-3A5583FEB928}"/>
    <cellStyle name="Normal 9 5 2 5" xfId="2246" xr:uid="{00000000-0005-0000-0000-000058200000}"/>
    <cellStyle name="Normal 9 5 2 5 2" xfId="4475" xr:uid="{00000000-0005-0000-0000-000059200000}"/>
    <cellStyle name="Normal 9 5 2 5 2 2" xfId="8697" xr:uid="{00000000-0005-0000-0000-00005A200000}"/>
    <cellStyle name="Normal 9 5 2 5 2 2 2" xfId="17192" xr:uid="{3DBDEC02-A871-4272-876A-E2B180CC6F4C}"/>
    <cellStyle name="Normal 9 5 2 5 2 3" xfId="12979" xr:uid="{69A9B8E0-34C4-4EE3-8D98-300449AF4B0C}"/>
    <cellStyle name="Normal 9 5 2 5 3" xfId="6552" xr:uid="{00000000-0005-0000-0000-00005B200000}"/>
    <cellStyle name="Normal 9 5 2 5 3 2" xfId="15047" xr:uid="{9B248891-B5C8-4597-A75C-2B9F483DFFEC}"/>
    <cellStyle name="Normal 9 5 2 5 4" xfId="10834" xr:uid="{70CA02FD-5510-42A2-A999-E9EB72031625}"/>
    <cellStyle name="Normal 9 5 2 6" xfId="2682" xr:uid="{00000000-0005-0000-0000-00005C200000}"/>
    <cellStyle name="Normal 9 5 2 6 2" xfId="6965" xr:uid="{00000000-0005-0000-0000-00005D200000}"/>
    <cellStyle name="Normal 9 5 2 6 2 2" xfId="15460" xr:uid="{BB5C3EC2-3666-4577-9334-79440FCECF5C}"/>
    <cellStyle name="Normal 9 5 2 6 3" xfId="11247" xr:uid="{8FCCD919-D31E-41B7-A67E-A62D8CFC549D}"/>
    <cellStyle name="Normal 9 5 2 7" xfId="4900" xr:uid="{00000000-0005-0000-0000-00005E200000}"/>
    <cellStyle name="Normal 9 5 2 7 2" xfId="13395" xr:uid="{D1A797BB-69DB-4C7E-9762-48F7E68CCB68}"/>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2 2 2" xfId="15952" xr:uid="{C8272057-9962-404E-860D-FE21930F1484}"/>
    <cellStyle name="Normal 9 5 3 2 3" xfId="11739" xr:uid="{3CDE8891-283B-4DCF-BC90-964A8C8DBEA1}"/>
    <cellStyle name="Normal 9 5 3 3" xfId="5312" xr:uid="{00000000-0005-0000-0000-000062200000}"/>
    <cellStyle name="Normal 9 5 3 3 2" xfId="13807" xr:uid="{FA00ED61-E1B8-422F-8991-C79241AA17AB}"/>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2 2 2" xfId="16365" xr:uid="{D1DAE649-09DB-4909-A244-77F5599915E4}"/>
    <cellStyle name="Normal 9 5 4 2 3" xfId="12152" xr:uid="{9421E2F3-7EF3-4811-9056-537984C82F64}"/>
    <cellStyle name="Normal 9 5 4 3" xfId="5725" xr:uid="{00000000-0005-0000-0000-000066200000}"/>
    <cellStyle name="Normal 9 5 4 3 2" xfId="14220" xr:uid="{B8FA3B38-7170-4B04-9D4A-06E5B2DB6C8B}"/>
    <cellStyle name="Normal 9 5 4 4" xfId="10007" xr:uid="{E6D2B5F7-B3AF-41E9-8348-281B8588EF00}"/>
    <cellStyle name="Normal 9 5 5" xfId="1831" xr:uid="{00000000-0005-0000-0000-000067200000}"/>
    <cellStyle name="Normal 9 5 5 2" xfId="4061" xr:uid="{00000000-0005-0000-0000-000068200000}"/>
    <cellStyle name="Normal 9 5 5 2 2" xfId="8283" xr:uid="{00000000-0005-0000-0000-000069200000}"/>
    <cellStyle name="Normal 9 5 5 2 2 2" xfId="16778" xr:uid="{F67E95D4-08A7-4EE6-859A-896CEB0C99BB}"/>
    <cellStyle name="Normal 9 5 5 2 3" xfId="12565" xr:uid="{7E0B9CCD-9FE0-4DF7-91B0-AC45E2DAAEB0}"/>
    <cellStyle name="Normal 9 5 5 3" xfId="6138" xr:uid="{00000000-0005-0000-0000-00006A200000}"/>
    <cellStyle name="Normal 9 5 5 3 2" xfId="14633" xr:uid="{47F160AA-F68C-4196-8CAC-6FFFCEB91FDC}"/>
    <cellStyle name="Normal 9 5 5 4" xfId="10420" xr:uid="{C0302132-8CB5-4DC3-85C1-3F3437196A3D}"/>
    <cellStyle name="Normal 9 5 6" xfId="2245" xr:uid="{00000000-0005-0000-0000-00006B200000}"/>
    <cellStyle name="Normal 9 5 6 2" xfId="4474" xr:uid="{00000000-0005-0000-0000-00006C200000}"/>
    <cellStyle name="Normal 9 5 6 2 2" xfId="8696" xr:uid="{00000000-0005-0000-0000-00006D200000}"/>
    <cellStyle name="Normal 9 5 6 2 2 2" xfId="17191" xr:uid="{7EB1F61D-4E75-45A9-996F-968A272AE1C7}"/>
    <cellStyle name="Normal 9 5 6 2 3" xfId="12978" xr:uid="{BA9FF1A0-7893-4916-9D44-35DE03335AE3}"/>
    <cellStyle name="Normal 9 5 6 3" xfId="6551" xr:uid="{00000000-0005-0000-0000-00006E200000}"/>
    <cellStyle name="Normal 9 5 6 3 2" xfId="15046" xr:uid="{E7873BAC-11E1-4643-B1F3-4DA2CF8B5B5F}"/>
    <cellStyle name="Normal 9 5 6 4" xfId="10833" xr:uid="{8F97C2F8-730E-43C2-B5F5-CE521A105321}"/>
    <cellStyle name="Normal 9 5 7" xfId="2681" xr:uid="{00000000-0005-0000-0000-00006F200000}"/>
    <cellStyle name="Normal 9 5 7 2" xfId="6964" xr:uid="{00000000-0005-0000-0000-000070200000}"/>
    <cellStyle name="Normal 9 5 7 2 2" xfId="15459" xr:uid="{7049C633-0185-408B-941C-A860923C1548}"/>
    <cellStyle name="Normal 9 5 7 3" xfId="11246" xr:uid="{11505E1B-9B63-47E8-A747-7996E26D71D4}"/>
    <cellStyle name="Normal 9 5 8" xfId="4899" xr:uid="{00000000-0005-0000-0000-000071200000}"/>
    <cellStyle name="Normal 9 5 8 2" xfId="13394" xr:uid="{2B5E339A-CC36-42AA-8AA2-64C2DB3135A6}"/>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54" xr:uid="{43D4D11E-DA6F-458F-B175-BC2EA280ABD1}"/>
    <cellStyle name="Normal 9 6 2 2 3" xfId="11741" xr:uid="{387C324E-16BF-4456-A655-88C740CEA5D1}"/>
    <cellStyle name="Normal 9 6 2 3" xfId="5314" xr:uid="{00000000-0005-0000-0000-000076200000}"/>
    <cellStyle name="Normal 9 6 2 3 2" xfId="13809" xr:uid="{FDDD4913-047C-45E9-8AD1-80CD469D8614}"/>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2 2 2" xfId="16367" xr:uid="{EDB203FE-62BE-4585-96D3-77739150330C}"/>
    <cellStyle name="Normal 9 6 3 2 3" xfId="12154" xr:uid="{D60C6651-4E80-44BF-803F-19A432079D16}"/>
    <cellStyle name="Normal 9 6 3 3" xfId="5727" xr:uid="{00000000-0005-0000-0000-00007A200000}"/>
    <cellStyle name="Normal 9 6 3 3 2" xfId="14222" xr:uid="{E1B1669F-1DAC-485F-BEB9-48AF6625F85D}"/>
    <cellStyle name="Normal 9 6 3 4" xfId="10009" xr:uid="{00FC4BA2-7423-4B36-B67C-8B45197FA88A}"/>
    <cellStyle name="Normal 9 6 4" xfId="1833" xr:uid="{00000000-0005-0000-0000-00007B200000}"/>
    <cellStyle name="Normal 9 6 4 2" xfId="4063" xr:uid="{00000000-0005-0000-0000-00007C200000}"/>
    <cellStyle name="Normal 9 6 4 2 2" xfId="8285" xr:uid="{00000000-0005-0000-0000-00007D200000}"/>
    <cellStyle name="Normal 9 6 4 2 2 2" xfId="16780" xr:uid="{E3F90621-7735-4C77-96BE-323969402E82}"/>
    <cellStyle name="Normal 9 6 4 2 3" xfId="12567" xr:uid="{F262C6D1-5C9B-4937-8DED-789C93988286}"/>
    <cellStyle name="Normal 9 6 4 3" xfId="6140" xr:uid="{00000000-0005-0000-0000-00007E200000}"/>
    <cellStyle name="Normal 9 6 4 3 2" xfId="14635" xr:uid="{4826EDB0-67B7-40DF-81B6-71F0D13AFD36}"/>
    <cellStyle name="Normal 9 6 4 4" xfId="10422" xr:uid="{D099E496-B632-4CF4-BD3D-36DCB2D56C95}"/>
    <cellStyle name="Normal 9 6 5" xfId="2247" xr:uid="{00000000-0005-0000-0000-00007F200000}"/>
    <cellStyle name="Normal 9 6 5 2" xfId="4476" xr:uid="{00000000-0005-0000-0000-000080200000}"/>
    <cellStyle name="Normal 9 6 5 2 2" xfId="8698" xr:uid="{00000000-0005-0000-0000-000081200000}"/>
    <cellStyle name="Normal 9 6 5 2 2 2" xfId="17193" xr:uid="{5239A6FD-9B3E-4D22-B033-AE33E2F330C9}"/>
    <cellStyle name="Normal 9 6 5 2 3" xfId="12980" xr:uid="{C8834342-944B-4784-B8ED-68F8FFFEFFAA}"/>
    <cellStyle name="Normal 9 6 5 3" xfId="6553" xr:uid="{00000000-0005-0000-0000-000082200000}"/>
    <cellStyle name="Normal 9 6 5 3 2" xfId="15048" xr:uid="{E0F87033-DF0D-4124-AC21-6E9B7A4E777B}"/>
    <cellStyle name="Normal 9 6 5 4" xfId="10835" xr:uid="{877E351A-9324-41A0-B60A-2FA104A54DE0}"/>
    <cellStyle name="Normal 9 6 6" xfId="2683" xr:uid="{00000000-0005-0000-0000-000083200000}"/>
    <cellStyle name="Normal 9 6 6 2" xfId="6966" xr:uid="{00000000-0005-0000-0000-000084200000}"/>
    <cellStyle name="Normal 9 6 6 2 2" xfId="15461" xr:uid="{6BE0EE33-E177-48A1-808A-A085A9FDFE05}"/>
    <cellStyle name="Normal 9 6 6 3" xfId="11248" xr:uid="{9487DBBC-6893-4BF1-A447-8829E125B686}"/>
    <cellStyle name="Normal 9 6 7" xfId="4901" xr:uid="{00000000-0005-0000-0000-000085200000}"/>
    <cellStyle name="Normal 9 6 7 2" xfId="13396" xr:uid="{782575F8-53D1-4486-816B-A7771EBC6CB5}"/>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542" xr:uid="{85F1870B-7277-4DF0-8B51-EDEBB496E836}"/>
    <cellStyle name="Note 2 2 10 3" xfId="11329" xr:uid="{6419FDE6-00C6-4697-B77B-2FCBD24EB1ED}"/>
    <cellStyle name="Note 2 2 11" xfId="4902" xr:uid="{00000000-0005-0000-0000-000094200000}"/>
    <cellStyle name="Note 2 2 11 2" xfId="13397" xr:uid="{456F1B1C-10D8-4702-B8C5-AECFA131E923}"/>
    <cellStyle name="Note 2 2 12" xfId="8841" xr:uid="{E94E1FD8-31C4-4718-9658-C7A587CBF323}"/>
    <cellStyle name="Note 2 2 2" xfId="546" xr:uid="{00000000-0005-0000-0000-000095200000}"/>
    <cellStyle name="Note 2 2 2 10" xfId="4903" xr:uid="{00000000-0005-0000-0000-000096200000}"/>
    <cellStyle name="Note 2 2 2 10 2" xfId="13398" xr:uid="{92F77519-E91B-47E9-ABDD-04EBDF76EC7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2 2 2" xfId="15957" xr:uid="{3084A19F-6AA8-4EEF-938B-645B65F27ADC}"/>
    <cellStyle name="Note 2 2 2 2 2 2 3" xfId="11744" xr:uid="{E2CF352E-5902-4978-B797-EBB6E1757268}"/>
    <cellStyle name="Note 2 2 2 2 2 3" xfId="5317" xr:uid="{00000000-0005-0000-0000-00009B200000}"/>
    <cellStyle name="Note 2 2 2 2 2 3 2" xfId="13812" xr:uid="{D2AF0C21-DBB9-48B9-8A42-15F87CD1A85D}"/>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2 2 2" xfId="16370" xr:uid="{12EAC681-5D77-457A-A0B7-1F9E2321910B}"/>
    <cellStyle name="Note 2 2 2 2 3 2 3" xfId="12157" xr:uid="{97ADC74B-5F35-4A1B-8FAB-021B3D5B6922}"/>
    <cellStyle name="Note 2 2 2 2 3 3" xfId="5730" xr:uid="{00000000-0005-0000-0000-00009F200000}"/>
    <cellStyle name="Note 2 2 2 2 3 3 2" xfId="14225" xr:uid="{8D565902-F75F-4F97-81C1-B5766F78B80D}"/>
    <cellStyle name="Note 2 2 2 2 3 4" xfId="10012" xr:uid="{126113B6-DD7A-4855-BBC2-666C77A1F451}"/>
    <cellStyle name="Note 2 2 2 2 4" xfId="1837" xr:uid="{00000000-0005-0000-0000-0000A0200000}"/>
    <cellStyle name="Note 2 2 2 2 4 2" xfId="4066" xr:uid="{00000000-0005-0000-0000-0000A1200000}"/>
    <cellStyle name="Note 2 2 2 2 4 2 2" xfId="8288" xr:uid="{00000000-0005-0000-0000-0000A2200000}"/>
    <cellStyle name="Note 2 2 2 2 4 2 2 2" xfId="16783" xr:uid="{D9FD9257-F791-4A23-8C98-41244A490DD6}"/>
    <cellStyle name="Note 2 2 2 2 4 2 3" xfId="12570" xr:uid="{EB64AD5B-3A28-415D-972B-28D2B25DEDA4}"/>
    <cellStyle name="Note 2 2 2 2 4 3" xfId="6143" xr:uid="{00000000-0005-0000-0000-0000A3200000}"/>
    <cellStyle name="Note 2 2 2 2 4 3 2" xfId="14638" xr:uid="{B8AE6225-5740-40D9-BAFE-41AD56621FF7}"/>
    <cellStyle name="Note 2 2 2 2 4 4" xfId="10425" xr:uid="{4F936367-74C8-4666-9FC9-8A5556077077}"/>
    <cellStyle name="Note 2 2 2 2 5" xfId="2250" xr:uid="{00000000-0005-0000-0000-0000A4200000}"/>
    <cellStyle name="Note 2 2 2 2 5 2" xfId="4479" xr:uid="{00000000-0005-0000-0000-0000A5200000}"/>
    <cellStyle name="Note 2 2 2 2 5 2 2" xfId="8701" xr:uid="{00000000-0005-0000-0000-0000A6200000}"/>
    <cellStyle name="Note 2 2 2 2 5 2 2 2" xfId="17196" xr:uid="{39D60F36-CF13-4197-88EA-610787F938EE}"/>
    <cellStyle name="Note 2 2 2 2 5 2 3" xfId="12983" xr:uid="{223A960C-856C-4E84-A6A5-2ABD717E1156}"/>
    <cellStyle name="Note 2 2 2 2 5 3" xfId="6556" xr:uid="{00000000-0005-0000-0000-0000A7200000}"/>
    <cellStyle name="Note 2 2 2 2 5 3 2" xfId="15051" xr:uid="{97C588CF-C3B8-47E3-8C40-880C4065E6F2}"/>
    <cellStyle name="Note 2 2 2 2 5 4" xfId="10838" xr:uid="{CADA9BC2-355E-466D-9C22-FDACC0EAE2B3}"/>
    <cellStyle name="Note 2 2 2 2 6" xfId="2686" xr:uid="{00000000-0005-0000-0000-0000A8200000}"/>
    <cellStyle name="Note 2 2 2 2 6 2" xfId="6969" xr:uid="{00000000-0005-0000-0000-0000A9200000}"/>
    <cellStyle name="Note 2 2 2 2 6 2 2" xfId="15464" xr:uid="{FB7C3B1F-08B7-408C-8B9E-6230A50F9C60}"/>
    <cellStyle name="Note 2 2 2 2 6 3" xfId="11251" xr:uid="{4A39F8AD-A378-4C76-AD62-C999BE577C3D}"/>
    <cellStyle name="Note 2 2 2 2 7" xfId="2745" xr:uid="{00000000-0005-0000-0000-0000AA200000}"/>
    <cellStyle name="Note 2 2 2 2 8" xfId="2826" xr:uid="{00000000-0005-0000-0000-0000AB200000}"/>
    <cellStyle name="Note 2 2 2 2 8 2" xfId="7049" xr:uid="{00000000-0005-0000-0000-0000AC200000}"/>
    <cellStyle name="Note 2 2 2 2 8 2 2" xfId="15544" xr:uid="{D0C061AE-B5FB-4768-9BC8-5351D9B8563D}"/>
    <cellStyle name="Note 2 2 2 2 8 3" xfId="11331" xr:uid="{E0ABB9C1-6CEE-4234-9420-0EAD2F5E7948}"/>
    <cellStyle name="Note 2 2 2 2 9" xfId="4904" xr:uid="{00000000-0005-0000-0000-0000AD200000}"/>
    <cellStyle name="Note 2 2 2 2 9 2" xfId="13399" xr:uid="{9BF9E967-08A5-499A-9AC8-A3BCDBD29A55}"/>
    <cellStyle name="Note 2 2 2 3" xfId="1007" xr:uid="{00000000-0005-0000-0000-0000AE200000}"/>
    <cellStyle name="Note 2 2 2 3 2" xfId="3239" xr:uid="{00000000-0005-0000-0000-0000AF200000}"/>
    <cellStyle name="Note 2 2 2 3 2 2" xfId="7461" xr:uid="{00000000-0005-0000-0000-0000B0200000}"/>
    <cellStyle name="Note 2 2 2 3 2 2 2" xfId="15956" xr:uid="{624F3518-D614-4B99-8906-95F1EFBD068F}"/>
    <cellStyle name="Note 2 2 2 3 2 3" xfId="11743" xr:uid="{90F741AF-003C-45EA-856C-B7491282B60E}"/>
    <cellStyle name="Note 2 2 2 3 3" xfId="5316" xr:uid="{00000000-0005-0000-0000-0000B1200000}"/>
    <cellStyle name="Note 2 2 2 3 3 2" xfId="13811" xr:uid="{8B152AAC-4440-4D19-A48F-B31DE03E694C}"/>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2 2 2" xfId="16369" xr:uid="{90CC9C83-10BE-4682-8F3A-1E2C25F69F93}"/>
    <cellStyle name="Note 2 2 2 4 2 3" xfId="12156" xr:uid="{782E0535-A336-4BD2-95AC-D27C7A806A0E}"/>
    <cellStyle name="Note 2 2 2 4 3" xfId="5729" xr:uid="{00000000-0005-0000-0000-0000B5200000}"/>
    <cellStyle name="Note 2 2 2 4 3 2" xfId="14224" xr:uid="{B2BB1A66-3ABB-4536-BA50-09246153DBB0}"/>
    <cellStyle name="Note 2 2 2 4 4" xfId="10011" xr:uid="{22E4DB23-9585-4729-97F7-D7571A299135}"/>
    <cellStyle name="Note 2 2 2 5" xfId="1836" xr:uid="{00000000-0005-0000-0000-0000B6200000}"/>
    <cellStyle name="Note 2 2 2 5 2" xfId="4065" xr:uid="{00000000-0005-0000-0000-0000B7200000}"/>
    <cellStyle name="Note 2 2 2 5 2 2" xfId="8287" xr:uid="{00000000-0005-0000-0000-0000B8200000}"/>
    <cellStyle name="Note 2 2 2 5 2 2 2" xfId="16782" xr:uid="{0CD251AD-85AC-44D7-B954-9521E9AF8CAC}"/>
    <cellStyle name="Note 2 2 2 5 2 3" xfId="12569" xr:uid="{53B7F8B6-C711-4079-BC38-D38FC3B29C58}"/>
    <cellStyle name="Note 2 2 2 5 3" xfId="6142" xr:uid="{00000000-0005-0000-0000-0000B9200000}"/>
    <cellStyle name="Note 2 2 2 5 3 2" xfId="14637" xr:uid="{D7086873-E0BF-46BC-80FE-FC9392220B64}"/>
    <cellStyle name="Note 2 2 2 5 4" xfId="10424" xr:uid="{3968492E-C55A-46F8-8397-6507F90FE211}"/>
    <cellStyle name="Note 2 2 2 6" xfId="2249" xr:uid="{00000000-0005-0000-0000-0000BA200000}"/>
    <cellStyle name="Note 2 2 2 6 2" xfId="4478" xr:uid="{00000000-0005-0000-0000-0000BB200000}"/>
    <cellStyle name="Note 2 2 2 6 2 2" xfId="8700" xr:uid="{00000000-0005-0000-0000-0000BC200000}"/>
    <cellStyle name="Note 2 2 2 6 2 2 2" xfId="17195" xr:uid="{065D1BF2-702C-4FD6-AFD6-C526E1A38B6D}"/>
    <cellStyle name="Note 2 2 2 6 2 3" xfId="12982" xr:uid="{44E26D5A-A1BC-44F5-B2CF-0F1C69DD3FE6}"/>
    <cellStyle name="Note 2 2 2 6 3" xfId="6555" xr:uid="{00000000-0005-0000-0000-0000BD200000}"/>
    <cellStyle name="Note 2 2 2 6 3 2" xfId="15050" xr:uid="{94989B67-C2D7-459C-A9FA-F0B44116CA3B}"/>
    <cellStyle name="Note 2 2 2 6 4" xfId="10837" xr:uid="{64C20F4C-61BC-40CC-B965-0C86A08B4143}"/>
    <cellStyle name="Note 2 2 2 7" xfId="2685" xr:uid="{00000000-0005-0000-0000-0000BE200000}"/>
    <cellStyle name="Note 2 2 2 7 2" xfId="6968" xr:uid="{00000000-0005-0000-0000-0000BF200000}"/>
    <cellStyle name="Note 2 2 2 7 2 2" xfId="15463" xr:uid="{F2B07FDA-6154-450B-9AC5-A15FEE89D718}"/>
    <cellStyle name="Note 2 2 2 7 3" xfId="11250" xr:uid="{B57870AF-4F84-44CE-9364-519A498AE0E8}"/>
    <cellStyle name="Note 2 2 2 8" xfId="2744" xr:uid="{00000000-0005-0000-0000-0000C0200000}"/>
    <cellStyle name="Note 2 2 2 9" xfId="2825" xr:uid="{00000000-0005-0000-0000-0000C1200000}"/>
    <cellStyle name="Note 2 2 2 9 2" xfId="7048" xr:uid="{00000000-0005-0000-0000-0000C2200000}"/>
    <cellStyle name="Note 2 2 2 9 2 2" xfId="15543" xr:uid="{88AB4381-8BFC-4A78-AEF1-32F438104276}"/>
    <cellStyle name="Note 2 2 2 9 3" xfId="11330" xr:uid="{5DEC372E-0D88-4D66-8007-7E6AE312B635}"/>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2 2 2" xfId="15958" xr:uid="{A8619960-5372-4763-8A2C-DAD921F9D777}"/>
    <cellStyle name="Note 2 2 3 2 2 3" xfId="11745" xr:uid="{E2CD71BA-ED2F-403C-80FB-9C6A99CC3BC9}"/>
    <cellStyle name="Note 2 2 3 2 3" xfId="5318" xr:uid="{00000000-0005-0000-0000-0000C7200000}"/>
    <cellStyle name="Note 2 2 3 2 3 2" xfId="13813" xr:uid="{EAC0DF15-11BD-44D9-9BA8-A09E3CAA9036}"/>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2 2 2" xfId="16371" xr:uid="{B0584139-FFB9-4C4D-878E-76F6A8D04E40}"/>
    <cellStyle name="Note 2 2 3 3 2 3" xfId="12158" xr:uid="{DA24D19A-322D-426A-B2FA-F7543E9B08DB}"/>
    <cellStyle name="Note 2 2 3 3 3" xfId="5731" xr:uid="{00000000-0005-0000-0000-0000CB200000}"/>
    <cellStyle name="Note 2 2 3 3 3 2" xfId="14226" xr:uid="{F1A8BC51-3D00-4836-8C9E-364388297A75}"/>
    <cellStyle name="Note 2 2 3 3 4" xfId="10013" xr:uid="{0EC9042F-6731-4164-9BDC-B6C94CC50F1F}"/>
    <cellStyle name="Note 2 2 3 4" xfId="1838" xr:uid="{00000000-0005-0000-0000-0000CC200000}"/>
    <cellStyle name="Note 2 2 3 4 2" xfId="4067" xr:uid="{00000000-0005-0000-0000-0000CD200000}"/>
    <cellStyle name="Note 2 2 3 4 2 2" xfId="8289" xr:uid="{00000000-0005-0000-0000-0000CE200000}"/>
    <cellStyle name="Note 2 2 3 4 2 2 2" xfId="16784" xr:uid="{76D292AF-366F-44AA-BEAF-43FE46F80BB9}"/>
    <cellStyle name="Note 2 2 3 4 2 3" xfId="12571" xr:uid="{EF89FD9D-E8CF-455C-8F8C-F2BA32EBAF7E}"/>
    <cellStyle name="Note 2 2 3 4 3" xfId="6144" xr:uid="{00000000-0005-0000-0000-0000CF200000}"/>
    <cellStyle name="Note 2 2 3 4 3 2" xfId="14639" xr:uid="{64573B05-8D0B-4530-A418-6651A8C51091}"/>
    <cellStyle name="Note 2 2 3 4 4" xfId="10426" xr:uid="{583BE914-1019-4AB7-8089-066A98338889}"/>
    <cellStyle name="Note 2 2 3 5" xfId="2251" xr:uid="{00000000-0005-0000-0000-0000D0200000}"/>
    <cellStyle name="Note 2 2 3 5 2" xfId="4480" xr:uid="{00000000-0005-0000-0000-0000D1200000}"/>
    <cellStyle name="Note 2 2 3 5 2 2" xfId="8702" xr:uid="{00000000-0005-0000-0000-0000D2200000}"/>
    <cellStyle name="Note 2 2 3 5 2 2 2" xfId="17197" xr:uid="{4C4CDC3B-1CEE-4649-910F-C3467D865A3C}"/>
    <cellStyle name="Note 2 2 3 5 2 3" xfId="12984" xr:uid="{03E37F4E-A443-4849-84FE-9FF05056D3C8}"/>
    <cellStyle name="Note 2 2 3 5 3" xfId="6557" xr:uid="{00000000-0005-0000-0000-0000D3200000}"/>
    <cellStyle name="Note 2 2 3 5 3 2" xfId="15052" xr:uid="{A4B66910-68D8-4FBC-8427-2D048DCA86E1}"/>
    <cellStyle name="Note 2 2 3 5 4" xfId="10839" xr:uid="{E73BD223-F50C-4C29-89F2-2B8EC4001D56}"/>
    <cellStyle name="Note 2 2 3 6" xfId="2687" xr:uid="{00000000-0005-0000-0000-0000D4200000}"/>
    <cellStyle name="Note 2 2 3 6 2" xfId="6970" xr:uid="{00000000-0005-0000-0000-0000D5200000}"/>
    <cellStyle name="Note 2 2 3 6 2 2" xfId="15465" xr:uid="{C706E987-1661-4470-8AC6-0456BF375BB5}"/>
    <cellStyle name="Note 2 2 3 6 3" xfId="11252" xr:uid="{6A366F78-69CA-44FC-8857-C65EC6605EDA}"/>
    <cellStyle name="Note 2 2 3 7" xfId="2746" xr:uid="{00000000-0005-0000-0000-0000D6200000}"/>
    <cellStyle name="Note 2 2 3 8" xfId="2827" xr:uid="{00000000-0005-0000-0000-0000D7200000}"/>
    <cellStyle name="Note 2 2 3 8 2" xfId="7050" xr:uid="{00000000-0005-0000-0000-0000D8200000}"/>
    <cellStyle name="Note 2 2 3 8 2 2" xfId="15545" xr:uid="{AE77A707-3FC4-45ED-9FF4-380E57BF1B95}"/>
    <cellStyle name="Note 2 2 3 8 3" xfId="11332" xr:uid="{5FD31786-D7F5-49D8-923C-FA9AA13D5ACA}"/>
    <cellStyle name="Note 2 2 3 9" xfId="4905" xr:uid="{00000000-0005-0000-0000-0000D9200000}"/>
    <cellStyle name="Note 2 2 3 9 2" xfId="13400" xr:uid="{36863F31-89DE-4EFB-A641-A15EE4DBF200}"/>
    <cellStyle name="Note 2 2 4" xfId="1006" xr:uid="{00000000-0005-0000-0000-0000DA200000}"/>
    <cellStyle name="Note 2 2 4 2" xfId="3238" xr:uid="{00000000-0005-0000-0000-0000DB200000}"/>
    <cellStyle name="Note 2 2 4 2 2" xfId="7460" xr:uid="{00000000-0005-0000-0000-0000DC200000}"/>
    <cellStyle name="Note 2 2 4 2 2 2" xfId="15955" xr:uid="{EE4BC54C-501D-404D-ABB4-251CEE00E966}"/>
    <cellStyle name="Note 2 2 4 2 3" xfId="11742" xr:uid="{A201B3E4-0F5E-4344-BAFA-925BDDFEBE45}"/>
    <cellStyle name="Note 2 2 4 3" xfId="5315" xr:uid="{00000000-0005-0000-0000-0000DD200000}"/>
    <cellStyle name="Note 2 2 4 3 2" xfId="13810" xr:uid="{0DE35753-FF74-4A48-A6FF-8AB2E0019E55}"/>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2 2 2" xfId="16368" xr:uid="{CE30CBA1-6016-4F0A-A9EE-AB4B3C3E53E1}"/>
    <cellStyle name="Note 2 2 5 2 3" xfId="12155" xr:uid="{8932AF98-08A4-4A96-8B0B-CDFBE998F7BD}"/>
    <cellStyle name="Note 2 2 5 3" xfId="5728" xr:uid="{00000000-0005-0000-0000-0000E1200000}"/>
    <cellStyle name="Note 2 2 5 3 2" xfId="14223" xr:uid="{0CB102B7-48C6-4C3F-8DCB-2F2C55119D16}"/>
    <cellStyle name="Note 2 2 5 4" xfId="10010" xr:uid="{4320B831-E8E5-4347-BB7D-EADF671C91B2}"/>
    <cellStyle name="Note 2 2 6" xfId="1835" xr:uid="{00000000-0005-0000-0000-0000E2200000}"/>
    <cellStyle name="Note 2 2 6 2" xfId="4064" xr:uid="{00000000-0005-0000-0000-0000E3200000}"/>
    <cellStyle name="Note 2 2 6 2 2" xfId="8286" xr:uid="{00000000-0005-0000-0000-0000E4200000}"/>
    <cellStyle name="Note 2 2 6 2 2 2" xfId="16781" xr:uid="{4506BBB8-AA58-4013-9140-8881C11591EA}"/>
    <cellStyle name="Note 2 2 6 2 3" xfId="12568" xr:uid="{68960BE6-810A-49A6-85E3-11C9C946DACD}"/>
    <cellStyle name="Note 2 2 6 3" xfId="6141" xr:uid="{00000000-0005-0000-0000-0000E5200000}"/>
    <cellStyle name="Note 2 2 6 3 2" xfId="14636" xr:uid="{62E7160A-8EB4-4083-822B-5245F43EA32D}"/>
    <cellStyle name="Note 2 2 6 4" xfId="10423" xr:uid="{0CBB4FD8-C6A9-48E7-8774-6127B4833A1B}"/>
    <cellStyle name="Note 2 2 7" xfId="2248" xr:uid="{00000000-0005-0000-0000-0000E6200000}"/>
    <cellStyle name="Note 2 2 7 2" xfId="4477" xr:uid="{00000000-0005-0000-0000-0000E7200000}"/>
    <cellStyle name="Note 2 2 7 2 2" xfId="8699" xr:uid="{00000000-0005-0000-0000-0000E8200000}"/>
    <cellStyle name="Note 2 2 7 2 2 2" xfId="17194" xr:uid="{FD7B9344-8F3A-4A46-91FE-6D24AD5BF1C4}"/>
    <cellStyle name="Note 2 2 7 2 3" xfId="12981" xr:uid="{F3B02C7B-F8E8-4258-BD39-47EF38E7CE16}"/>
    <cellStyle name="Note 2 2 7 3" xfId="6554" xr:uid="{00000000-0005-0000-0000-0000E9200000}"/>
    <cellStyle name="Note 2 2 7 3 2" xfId="15049" xr:uid="{54DD2F49-5680-4E89-8EAE-5DFE6B286A29}"/>
    <cellStyle name="Note 2 2 7 4" xfId="10836" xr:uid="{3CD51F8F-811C-41B3-B918-E2555D163556}"/>
    <cellStyle name="Note 2 2 8" xfId="2684" xr:uid="{00000000-0005-0000-0000-0000EA200000}"/>
    <cellStyle name="Note 2 2 8 2" xfId="6967" xr:uid="{00000000-0005-0000-0000-0000EB200000}"/>
    <cellStyle name="Note 2 2 8 2 2" xfId="15462" xr:uid="{E2D0EFE0-9A93-4F8C-A1B2-0D2F04B79BF0}"/>
    <cellStyle name="Note 2 2 8 3" xfId="11249" xr:uid="{134ED07B-274D-45CD-A922-CC46F872E195}"/>
    <cellStyle name="Note 2 2 9" xfId="2743" xr:uid="{00000000-0005-0000-0000-0000EC200000}"/>
    <cellStyle name="Note 2 3" xfId="549" xr:uid="{00000000-0005-0000-0000-0000ED200000}"/>
    <cellStyle name="Note 2 3 10" xfId="4906" xr:uid="{00000000-0005-0000-0000-0000EE200000}"/>
    <cellStyle name="Note 2 3 10 2" xfId="13401" xr:uid="{57E4CF1D-EA7C-41F0-BB3C-4D0676468DB5}"/>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2 2 2" xfId="15960" xr:uid="{74A47AFB-0169-4A71-A9C8-B8BA80B790D4}"/>
    <cellStyle name="Note 2 3 2 2 2 3" xfId="11747" xr:uid="{FA3A7264-7B8C-4DB5-A337-35FAB3A603A2}"/>
    <cellStyle name="Note 2 3 2 2 3" xfId="5320" xr:uid="{00000000-0005-0000-0000-0000F3200000}"/>
    <cellStyle name="Note 2 3 2 2 3 2" xfId="13815" xr:uid="{FC06A2F2-4B2B-4393-AE8E-74681E4810E6}"/>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2 2 2" xfId="16373" xr:uid="{0DDE38EF-909D-4BD0-A84B-42BE025BF47A}"/>
    <cellStyle name="Note 2 3 2 3 2 3" xfId="12160" xr:uid="{21DC4B40-7DA2-4BE4-8E3B-A0F2E2B192E2}"/>
    <cellStyle name="Note 2 3 2 3 3" xfId="5733" xr:uid="{00000000-0005-0000-0000-0000F7200000}"/>
    <cellStyle name="Note 2 3 2 3 3 2" xfId="14228" xr:uid="{7E341C14-1169-4326-A5C7-9B5EECE4803C}"/>
    <cellStyle name="Note 2 3 2 3 4" xfId="10015" xr:uid="{7FC83D59-0600-42E4-8E31-CB9452542EA8}"/>
    <cellStyle name="Note 2 3 2 4" xfId="1840" xr:uid="{00000000-0005-0000-0000-0000F8200000}"/>
    <cellStyle name="Note 2 3 2 4 2" xfId="4069" xr:uid="{00000000-0005-0000-0000-0000F9200000}"/>
    <cellStyle name="Note 2 3 2 4 2 2" xfId="8291" xr:uid="{00000000-0005-0000-0000-0000FA200000}"/>
    <cellStyle name="Note 2 3 2 4 2 2 2" xfId="16786" xr:uid="{6750E533-2FCA-4074-8E49-86E104633336}"/>
    <cellStyle name="Note 2 3 2 4 2 3" xfId="12573" xr:uid="{32044A88-5274-4821-88EC-A6BEFB2BF77A}"/>
    <cellStyle name="Note 2 3 2 4 3" xfId="6146" xr:uid="{00000000-0005-0000-0000-0000FB200000}"/>
    <cellStyle name="Note 2 3 2 4 3 2" xfId="14641" xr:uid="{06B57F58-6FD0-41EC-867C-92B80733F299}"/>
    <cellStyle name="Note 2 3 2 4 4" xfId="10428" xr:uid="{326CB5B5-817E-4412-9B42-C793CCEABA4E}"/>
    <cellStyle name="Note 2 3 2 5" xfId="2253" xr:uid="{00000000-0005-0000-0000-0000FC200000}"/>
    <cellStyle name="Note 2 3 2 5 2" xfId="4482" xr:uid="{00000000-0005-0000-0000-0000FD200000}"/>
    <cellStyle name="Note 2 3 2 5 2 2" xfId="8704" xr:uid="{00000000-0005-0000-0000-0000FE200000}"/>
    <cellStyle name="Note 2 3 2 5 2 2 2" xfId="17199" xr:uid="{9E60A6EC-8D99-462E-92FE-E76CB4776E4F}"/>
    <cellStyle name="Note 2 3 2 5 2 3" xfId="12986" xr:uid="{B2F7C999-95DD-4FFB-9EF7-90605A061174}"/>
    <cellStyle name="Note 2 3 2 5 3" xfId="6559" xr:uid="{00000000-0005-0000-0000-0000FF200000}"/>
    <cellStyle name="Note 2 3 2 5 3 2" xfId="15054" xr:uid="{5D98073D-4AD8-4F2C-9530-E7CB02FBA915}"/>
    <cellStyle name="Note 2 3 2 5 4" xfId="10841" xr:uid="{1828878D-44F3-4CC1-844A-50D1181C9A2B}"/>
    <cellStyle name="Note 2 3 2 6" xfId="2689" xr:uid="{00000000-0005-0000-0000-000000210000}"/>
    <cellStyle name="Note 2 3 2 6 2" xfId="6972" xr:uid="{00000000-0005-0000-0000-000001210000}"/>
    <cellStyle name="Note 2 3 2 6 2 2" xfId="15467" xr:uid="{089FAEDA-14EA-428B-9A7F-A50E2023B74F}"/>
    <cellStyle name="Note 2 3 2 6 3" xfId="11254" xr:uid="{24A0A1A7-1D0D-4055-87E8-965158B17B76}"/>
    <cellStyle name="Note 2 3 2 7" xfId="2748" xr:uid="{00000000-0005-0000-0000-000002210000}"/>
    <cellStyle name="Note 2 3 2 8" xfId="2829" xr:uid="{00000000-0005-0000-0000-000003210000}"/>
    <cellStyle name="Note 2 3 2 8 2" xfId="7052" xr:uid="{00000000-0005-0000-0000-000004210000}"/>
    <cellStyle name="Note 2 3 2 8 2 2" xfId="15547" xr:uid="{4ED3DA50-5C41-4720-884B-4F06058646A8}"/>
    <cellStyle name="Note 2 3 2 8 3" xfId="11334" xr:uid="{8EC54EC3-7A35-43DF-8F4C-AF6D216F77C5}"/>
    <cellStyle name="Note 2 3 2 9" xfId="4907" xr:uid="{00000000-0005-0000-0000-000005210000}"/>
    <cellStyle name="Note 2 3 2 9 2" xfId="13402" xr:uid="{D8B890E6-AEE1-4BE8-87EA-A7FA7E106E48}"/>
    <cellStyle name="Note 2 3 3" xfId="1010" xr:uid="{00000000-0005-0000-0000-000006210000}"/>
    <cellStyle name="Note 2 3 3 2" xfId="3242" xr:uid="{00000000-0005-0000-0000-000007210000}"/>
    <cellStyle name="Note 2 3 3 2 2" xfId="7464" xr:uid="{00000000-0005-0000-0000-000008210000}"/>
    <cellStyle name="Note 2 3 3 2 2 2" xfId="15959" xr:uid="{7DCA9497-2A6F-4CCD-94DE-E30C63BE4AB6}"/>
    <cellStyle name="Note 2 3 3 2 3" xfId="11746" xr:uid="{7FC72242-50B9-430E-99B2-B922AF306250}"/>
    <cellStyle name="Note 2 3 3 3" xfId="5319" xr:uid="{00000000-0005-0000-0000-000009210000}"/>
    <cellStyle name="Note 2 3 3 3 2" xfId="13814" xr:uid="{107C39C2-E024-4629-9BC4-B27D46E4F80F}"/>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2 2 2" xfId="16372" xr:uid="{1FAB45F4-D5CA-410C-AA39-5F2DB12CF49B}"/>
    <cellStyle name="Note 2 3 4 2 3" xfId="12159" xr:uid="{976761A6-CD35-4ADF-A72F-A004C9EDE18A}"/>
    <cellStyle name="Note 2 3 4 3" xfId="5732" xr:uid="{00000000-0005-0000-0000-00000D210000}"/>
    <cellStyle name="Note 2 3 4 3 2" xfId="14227" xr:uid="{D6C08CBB-C255-41C0-A412-A1E677309FF6}"/>
    <cellStyle name="Note 2 3 4 4" xfId="10014" xr:uid="{64A1A189-121E-4204-9C2F-ED23ECCE2809}"/>
    <cellStyle name="Note 2 3 5" xfId="1839" xr:uid="{00000000-0005-0000-0000-00000E210000}"/>
    <cellStyle name="Note 2 3 5 2" xfId="4068" xr:uid="{00000000-0005-0000-0000-00000F210000}"/>
    <cellStyle name="Note 2 3 5 2 2" xfId="8290" xr:uid="{00000000-0005-0000-0000-000010210000}"/>
    <cellStyle name="Note 2 3 5 2 2 2" xfId="16785" xr:uid="{9BFDF6E0-5E34-4311-AE7D-951F5947C898}"/>
    <cellStyle name="Note 2 3 5 2 3" xfId="12572" xr:uid="{CBC86E6C-A316-4D00-B7E8-54EADBE2C401}"/>
    <cellStyle name="Note 2 3 5 3" xfId="6145" xr:uid="{00000000-0005-0000-0000-000011210000}"/>
    <cellStyle name="Note 2 3 5 3 2" xfId="14640" xr:uid="{A0C91475-0301-4A49-8E22-098370AB5B85}"/>
    <cellStyle name="Note 2 3 5 4" xfId="10427" xr:uid="{5B22BD09-23D8-4D6C-90ED-D8FA90AA1484}"/>
    <cellStyle name="Note 2 3 6" xfId="2252" xr:uid="{00000000-0005-0000-0000-000012210000}"/>
    <cellStyle name="Note 2 3 6 2" xfId="4481" xr:uid="{00000000-0005-0000-0000-000013210000}"/>
    <cellStyle name="Note 2 3 6 2 2" xfId="8703" xr:uid="{00000000-0005-0000-0000-000014210000}"/>
    <cellStyle name="Note 2 3 6 2 2 2" xfId="17198" xr:uid="{601ED04D-E152-4C48-B20F-26DCA9A72EDD}"/>
    <cellStyle name="Note 2 3 6 2 3" xfId="12985" xr:uid="{BE38F7C8-6DE2-4E1D-970D-69697AED85D6}"/>
    <cellStyle name="Note 2 3 6 3" xfId="6558" xr:uid="{00000000-0005-0000-0000-000015210000}"/>
    <cellStyle name="Note 2 3 6 3 2" xfId="15053" xr:uid="{3FBA3429-A57E-4DCB-AFC9-22A78D448B21}"/>
    <cellStyle name="Note 2 3 6 4" xfId="10840" xr:uid="{F638A3C9-6707-4831-BD17-88F92BBCEABA}"/>
    <cellStyle name="Note 2 3 7" xfId="2688" xr:uid="{00000000-0005-0000-0000-000016210000}"/>
    <cellStyle name="Note 2 3 7 2" xfId="6971" xr:uid="{00000000-0005-0000-0000-000017210000}"/>
    <cellStyle name="Note 2 3 7 2 2" xfId="15466" xr:uid="{D989B8D7-A7D1-4422-BE5C-8B60D1A71271}"/>
    <cellStyle name="Note 2 3 7 3" xfId="11253" xr:uid="{38BA931E-B9A0-4F81-9126-BAA144842115}"/>
    <cellStyle name="Note 2 3 8" xfId="2747" xr:uid="{00000000-0005-0000-0000-000018210000}"/>
    <cellStyle name="Note 2 3 9" xfId="2828" xr:uid="{00000000-0005-0000-0000-000019210000}"/>
    <cellStyle name="Note 2 3 9 2" xfId="7051" xr:uid="{00000000-0005-0000-0000-00001A210000}"/>
    <cellStyle name="Note 2 3 9 2 2" xfId="15546" xr:uid="{052326F0-BAF3-4062-8116-79BFDB5A5FC3}"/>
    <cellStyle name="Note 2 3 9 3" xfId="11333" xr:uid="{DB607D5D-7D69-443F-B420-003E9B72F0E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2 2 2" xfId="15961" xr:uid="{E98BE533-DFDA-4554-88DB-51B12354EFF4}"/>
    <cellStyle name="Note 2 4 2 2 3" xfId="11748" xr:uid="{3BFD5681-5686-4D42-B531-923122EF0DF1}"/>
    <cellStyle name="Note 2 4 2 3" xfId="5321" xr:uid="{00000000-0005-0000-0000-00001F210000}"/>
    <cellStyle name="Note 2 4 2 3 2" xfId="13816" xr:uid="{8C17D93D-C455-4E81-8A18-982A074F1BD8}"/>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2 2 2" xfId="16374" xr:uid="{31F6CCB4-081A-43D8-B38E-B20E7FC67241}"/>
    <cellStyle name="Note 2 4 3 2 3" xfId="12161" xr:uid="{DB3762B1-F05C-4A8A-93C9-381AC9D2C4F4}"/>
    <cellStyle name="Note 2 4 3 3" xfId="5734" xr:uid="{00000000-0005-0000-0000-000023210000}"/>
    <cellStyle name="Note 2 4 3 3 2" xfId="14229" xr:uid="{1AE42582-B734-4A3F-B637-233EE5BE0390}"/>
    <cellStyle name="Note 2 4 3 4" xfId="10016" xr:uid="{2329CAC1-E0C3-4F01-8D29-77296DC07549}"/>
    <cellStyle name="Note 2 4 4" xfId="1841" xr:uid="{00000000-0005-0000-0000-000024210000}"/>
    <cellStyle name="Note 2 4 4 2" xfId="4070" xr:uid="{00000000-0005-0000-0000-000025210000}"/>
    <cellStyle name="Note 2 4 4 2 2" xfId="8292" xr:uid="{00000000-0005-0000-0000-000026210000}"/>
    <cellStyle name="Note 2 4 4 2 2 2" xfId="16787" xr:uid="{F3B973C2-71CA-417F-9B26-FB5D11F2C850}"/>
    <cellStyle name="Note 2 4 4 2 3" xfId="12574" xr:uid="{E618BF04-5A47-4B5B-AC45-3790178523FE}"/>
    <cellStyle name="Note 2 4 4 3" xfId="6147" xr:uid="{00000000-0005-0000-0000-000027210000}"/>
    <cellStyle name="Note 2 4 4 3 2" xfId="14642" xr:uid="{A6AF2AAB-E3AD-4E20-ADBA-FFBB4C697D0D}"/>
    <cellStyle name="Note 2 4 4 4" xfId="10429" xr:uid="{494FB143-6364-4E6F-8C08-53CB3EACFEBF}"/>
    <cellStyle name="Note 2 4 5" xfId="2254" xr:uid="{00000000-0005-0000-0000-000028210000}"/>
    <cellStyle name="Note 2 4 5 2" xfId="4483" xr:uid="{00000000-0005-0000-0000-000029210000}"/>
    <cellStyle name="Note 2 4 5 2 2" xfId="8705" xr:uid="{00000000-0005-0000-0000-00002A210000}"/>
    <cellStyle name="Note 2 4 5 2 2 2" xfId="17200" xr:uid="{003620EC-4D7C-4922-8C33-2EBE95FD099A}"/>
    <cellStyle name="Note 2 4 5 2 3" xfId="12987" xr:uid="{4A7BFAA9-751B-45B5-B0BF-C8D6D9C795E7}"/>
    <cellStyle name="Note 2 4 5 3" xfId="6560" xr:uid="{00000000-0005-0000-0000-00002B210000}"/>
    <cellStyle name="Note 2 4 5 3 2" xfId="15055" xr:uid="{90399998-DBE5-44E0-B2FF-43B273FA533B}"/>
    <cellStyle name="Note 2 4 5 4" xfId="10842" xr:uid="{25A8F6F9-A2FD-4878-A3D8-DF8815AD07CC}"/>
    <cellStyle name="Note 2 4 6" xfId="2690" xr:uid="{00000000-0005-0000-0000-00002C210000}"/>
    <cellStyle name="Note 2 4 6 2" xfId="6973" xr:uid="{00000000-0005-0000-0000-00002D210000}"/>
    <cellStyle name="Note 2 4 6 2 2" xfId="15468" xr:uid="{62D90898-FF08-41B3-A9C7-D1413036AB4C}"/>
    <cellStyle name="Note 2 4 6 3" xfId="11255" xr:uid="{83F0C315-7168-42B7-89D4-D0D612D82C55}"/>
    <cellStyle name="Note 2 4 7" xfId="2749" xr:uid="{00000000-0005-0000-0000-00002E210000}"/>
    <cellStyle name="Note 2 4 8" xfId="2830" xr:uid="{00000000-0005-0000-0000-00002F210000}"/>
    <cellStyle name="Note 2 4 8 2" xfId="7053" xr:uid="{00000000-0005-0000-0000-000030210000}"/>
    <cellStyle name="Note 2 4 8 2 2" xfId="15548" xr:uid="{DD7187B1-2FB3-4894-B24E-BC24011E442D}"/>
    <cellStyle name="Note 2 4 8 3" xfId="11335" xr:uid="{1457CFD4-40A4-45E3-A8E6-5170D41F9BC6}"/>
    <cellStyle name="Note 2 4 9" xfId="4908" xr:uid="{00000000-0005-0000-0000-000031210000}"/>
    <cellStyle name="Note 2 4 9 2" xfId="13403" xr:uid="{E4C5994A-0567-4299-9280-769A51B5146C}"/>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2 2 2" xfId="15962" xr:uid="{E632F733-2A76-4DA5-B7BE-0ADFAAE1E7FA}"/>
    <cellStyle name="Note 2 5 2 2 3" xfId="11749" xr:uid="{307A0143-8A89-4E27-B703-724FD3B2AE53}"/>
    <cellStyle name="Note 2 5 2 3" xfId="5322" xr:uid="{00000000-0005-0000-0000-000036210000}"/>
    <cellStyle name="Note 2 5 2 3 2" xfId="13817" xr:uid="{194CE774-70C9-4E42-BC76-F58542DAC8E6}"/>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2 2 2" xfId="16375" xr:uid="{D636DF90-B3C1-4994-B933-FC11AC3AE335}"/>
    <cellStyle name="Note 2 5 3 2 3" xfId="12162" xr:uid="{0397F196-B5FE-47E0-A788-B2EFAC218233}"/>
    <cellStyle name="Note 2 5 3 3" xfId="5735" xr:uid="{00000000-0005-0000-0000-00003A210000}"/>
    <cellStyle name="Note 2 5 3 3 2" xfId="14230" xr:uid="{66EF8D2E-C719-4F9F-9451-FF6332A639C5}"/>
    <cellStyle name="Note 2 5 3 4" xfId="10017" xr:uid="{9F79818E-AD2D-4C72-9A33-C59DA8CE7B02}"/>
    <cellStyle name="Note 2 5 4" xfId="1842" xr:uid="{00000000-0005-0000-0000-00003B210000}"/>
    <cellStyle name="Note 2 5 4 2" xfId="4071" xr:uid="{00000000-0005-0000-0000-00003C210000}"/>
    <cellStyle name="Note 2 5 4 2 2" xfId="8293" xr:uid="{00000000-0005-0000-0000-00003D210000}"/>
    <cellStyle name="Note 2 5 4 2 2 2" xfId="16788" xr:uid="{C6007EDF-7224-4AC0-847C-5F6914797106}"/>
    <cellStyle name="Note 2 5 4 2 3" xfId="12575" xr:uid="{8B983E62-45F8-473F-B17E-D5D0DDDFCD64}"/>
    <cellStyle name="Note 2 5 4 3" xfId="6148" xr:uid="{00000000-0005-0000-0000-00003E210000}"/>
    <cellStyle name="Note 2 5 4 3 2" xfId="14643" xr:uid="{147A01F9-65FF-49DA-B055-08EA8C3EB3A1}"/>
    <cellStyle name="Note 2 5 4 4" xfId="10430" xr:uid="{91B6F2EC-F8EC-4C2C-9EBC-D876FC1652D9}"/>
    <cellStyle name="Note 2 5 5" xfId="2255" xr:uid="{00000000-0005-0000-0000-00003F210000}"/>
    <cellStyle name="Note 2 5 5 2" xfId="4484" xr:uid="{00000000-0005-0000-0000-000040210000}"/>
    <cellStyle name="Note 2 5 5 2 2" xfId="8706" xr:uid="{00000000-0005-0000-0000-000041210000}"/>
    <cellStyle name="Note 2 5 5 2 2 2" xfId="17201" xr:uid="{341BA55E-14BC-4C37-B732-3458498DDD79}"/>
    <cellStyle name="Note 2 5 5 2 3" xfId="12988" xr:uid="{4B848747-8719-4C86-AEB3-F88C31FCB4AA}"/>
    <cellStyle name="Note 2 5 5 3" xfId="6561" xr:uid="{00000000-0005-0000-0000-000042210000}"/>
    <cellStyle name="Note 2 5 5 3 2" xfId="15056" xr:uid="{66438FEC-1080-445C-897E-F154952EBF92}"/>
    <cellStyle name="Note 2 5 5 4" xfId="10843" xr:uid="{C52FF64B-4006-4A07-AE14-3ACDA6581087}"/>
    <cellStyle name="Note 2 5 6" xfId="2691" xr:uid="{00000000-0005-0000-0000-000043210000}"/>
    <cellStyle name="Note 2 5 6 2" xfId="6974" xr:uid="{00000000-0005-0000-0000-000044210000}"/>
    <cellStyle name="Note 2 5 6 2 2" xfId="15469" xr:uid="{2E7A2371-2F78-42C5-80B8-84A104866F0B}"/>
    <cellStyle name="Note 2 5 6 3" xfId="11256" xr:uid="{735CC875-3D24-423E-89A5-87978177F6DF}"/>
    <cellStyle name="Note 2 5 7" xfId="2750" xr:uid="{00000000-0005-0000-0000-000045210000}"/>
    <cellStyle name="Note 2 5 8" xfId="2831" xr:uid="{00000000-0005-0000-0000-000046210000}"/>
    <cellStyle name="Note 2 5 8 2" xfId="7054" xr:uid="{00000000-0005-0000-0000-000047210000}"/>
    <cellStyle name="Note 2 5 8 2 2" xfId="15549" xr:uid="{BBA7FA80-77E4-4DB2-AAB4-E83C39EB6477}"/>
    <cellStyle name="Note 2 5 8 3" xfId="11336" xr:uid="{84B8D592-48B5-4FDE-9AD7-B5415E869A11}"/>
    <cellStyle name="Note 2 5 9" xfId="4909" xr:uid="{00000000-0005-0000-0000-000048210000}"/>
    <cellStyle name="Note 2 5 9 2" xfId="13404" xr:uid="{F00D9D7D-A644-47F2-9F04-E0AA6750EDA3}"/>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50" xr:uid="{E2A59231-8BA8-4C6E-BA69-75395663394C}"/>
    <cellStyle name="Note 3 2 10 3" xfId="11337" xr:uid="{973D71D8-2111-4BD1-ABB2-04D30AD333E2}"/>
    <cellStyle name="Note 3 2 11" xfId="4910" xr:uid="{00000000-0005-0000-0000-00004D210000}"/>
    <cellStyle name="Note 3 2 11 2" xfId="13405" xr:uid="{CACB4FBA-C3C4-4A3E-94CC-6C19BB343653}"/>
    <cellStyle name="Note 3 2 12" xfId="8842" xr:uid="{646587AC-B7A9-43E2-AC1E-1B77745805D8}"/>
    <cellStyle name="Note 3 2 2" xfId="555" xr:uid="{00000000-0005-0000-0000-00004E210000}"/>
    <cellStyle name="Note 3 2 2 10" xfId="4911" xr:uid="{00000000-0005-0000-0000-00004F210000}"/>
    <cellStyle name="Note 3 2 2 10 2" xfId="13406" xr:uid="{E6AB1527-1A88-400E-B7B7-E53C77F20609}"/>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2 2 2" xfId="15965" xr:uid="{8C824B32-07BE-472E-86E7-49661B535DEE}"/>
    <cellStyle name="Note 3 2 2 2 2 2 3" xfId="11752" xr:uid="{1F41CE1A-034B-48B7-BAD8-2C793B674B1C}"/>
    <cellStyle name="Note 3 2 2 2 2 3" xfId="5325" xr:uid="{00000000-0005-0000-0000-000054210000}"/>
    <cellStyle name="Note 3 2 2 2 2 3 2" xfId="13820" xr:uid="{707C080B-868C-486C-B303-F2890C95FAB4}"/>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2 2 2" xfId="16378" xr:uid="{8A673FF9-5DAB-46F8-82BE-4695A70DF768}"/>
    <cellStyle name="Note 3 2 2 2 3 2 3" xfId="12165" xr:uid="{133488D0-E307-4A96-A7A3-55D03CA103D9}"/>
    <cellStyle name="Note 3 2 2 2 3 3" xfId="5738" xr:uid="{00000000-0005-0000-0000-000058210000}"/>
    <cellStyle name="Note 3 2 2 2 3 3 2" xfId="14233" xr:uid="{AEF2EBCD-866A-4430-BD02-40C76A72D98D}"/>
    <cellStyle name="Note 3 2 2 2 3 4" xfId="10020" xr:uid="{E2A09574-80CD-440C-A615-00A0BDE86FF2}"/>
    <cellStyle name="Note 3 2 2 2 4" xfId="1845" xr:uid="{00000000-0005-0000-0000-000059210000}"/>
    <cellStyle name="Note 3 2 2 2 4 2" xfId="4074" xr:uid="{00000000-0005-0000-0000-00005A210000}"/>
    <cellStyle name="Note 3 2 2 2 4 2 2" xfId="8296" xr:uid="{00000000-0005-0000-0000-00005B210000}"/>
    <cellStyle name="Note 3 2 2 2 4 2 2 2" xfId="16791" xr:uid="{730249F5-CEC0-47B6-B068-BC1DDE298685}"/>
    <cellStyle name="Note 3 2 2 2 4 2 3" xfId="12578" xr:uid="{D7106673-DB38-4FC0-867C-ACD0FC10A3BB}"/>
    <cellStyle name="Note 3 2 2 2 4 3" xfId="6151" xr:uid="{00000000-0005-0000-0000-00005C210000}"/>
    <cellStyle name="Note 3 2 2 2 4 3 2" xfId="14646" xr:uid="{BA6742B3-BEE6-44C6-B877-0A91727024B7}"/>
    <cellStyle name="Note 3 2 2 2 4 4" xfId="10433" xr:uid="{DF8A1C8A-8498-4F8B-AECD-4A9D1CA1E623}"/>
    <cellStyle name="Note 3 2 2 2 5" xfId="2258" xr:uid="{00000000-0005-0000-0000-00005D210000}"/>
    <cellStyle name="Note 3 2 2 2 5 2" xfId="4487" xr:uid="{00000000-0005-0000-0000-00005E210000}"/>
    <cellStyle name="Note 3 2 2 2 5 2 2" xfId="8709" xr:uid="{00000000-0005-0000-0000-00005F210000}"/>
    <cellStyle name="Note 3 2 2 2 5 2 2 2" xfId="17204" xr:uid="{A551D183-7A18-40C5-A7CE-F08FA6F016F2}"/>
    <cellStyle name="Note 3 2 2 2 5 2 3" xfId="12991" xr:uid="{713BDC72-07EC-4CC6-B0FF-0DD514F51D53}"/>
    <cellStyle name="Note 3 2 2 2 5 3" xfId="6564" xr:uid="{00000000-0005-0000-0000-000060210000}"/>
    <cellStyle name="Note 3 2 2 2 5 3 2" xfId="15059" xr:uid="{FA9B25D1-79F7-482E-8D74-E539D69EC105}"/>
    <cellStyle name="Note 3 2 2 2 5 4" xfId="10846" xr:uid="{AEBA4E0E-C36C-47B2-9A1E-08CBED94D2B2}"/>
    <cellStyle name="Note 3 2 2 2 6" xfId="2694" xr:uid="{00000000-0005-0000-0000-000061210000}"/>
    <cellStyle name="Note 3 2 2 2 6 2" xfId="6977" xr:uid="{00000000-0005-0000-0000-000062210000}"/>
    <cellStyle name="Note 3 2 2 2 6 2 2" xfId="15472" xr:uid="{F94F9863-1C13-4DD1-8C52-CCD061DE307E}"/>
    <cellStyle name="Note 3 2 2 2 6 3" xfId="11259" xr:uid="{94DE85E3-1AB9-4C21-993F-6DF6D2311BA8}"/>
    <cellStyle name="Note 3 2 2 2 7" xfId="2753" xr:uid="{00000000-0005-0000-0000-000063210000}"/>
    <cellStyle name="Note 3 2 2 2 8" xfId="2834" xr:uid="{00000000-0005-0000-0000-000064210000}"/>
    <cellStyle name="Note 3 2 2 2 8 2" xfId="7057" xr:uid="{00000000-0005-0000-0000-000065210000}"/>
    <cellStyle name="Note 3 2 2 2 8 2 2" xfId="15552" xr:uid="{04E45134-380E-417C-B8C8-07C6ACCCF555}"/>
    <cellStyle name="Note 3 2 2 2 8 3" xfId="11339" xr:uid="{C8E8662B-8F05-4AFB-82DF-3F7BC2E9FE24}"/>
    <cellStyle name="Note 3 2 2 2 9" xfId="4912" xr:uid="{00000000-0005-0000-0000-000066210000}"/>
    <cellStyle name="Note 3 2 2 2 9 2" xfId="13407" xr:uid="{DABDC9CF-E478-4530-A70E-90CC21395C4E}"/>
    <cellStyle name="Note 3 2 2 3" xfId="1015" xr:uid="{00000000-0005-0000-0000-000067210000}"/>
    <cellStyle name="Note 3 2 2 3 2" xfId="3247" xr:uid="{00000000-0005-0000-0000-000068210000}"/>
    <cellStyle name="Note 3 2 2 3 2 2" xfId="7469" xr:uid="{00000000-0005-0000-0000-000069210000}"/>
    <cellStyle name="Note 3 2 2 3 2 2 2" xfId="15964" xr:uid="{895232C2-80C1-4F14-A558-C4B974C0E23B}"/>
    <cellStyle name="Note 3 2 2 3 2 3" xfId="11751" xr:uid="{5BBD61D2-9D72-42CF-892A-E121E95724DD}"/>
    <cellStyle name="Note 3 2 2 3 3" xfId="5324" xr:uid="{00000000-0005-0000-0000-00006A210000}"/>
    <cellStyle name="Note 3 2 2 3 3 2" xfId="13819" xr:uid="{64D9E151-E840-429A-92CC-5A4EFC6086DF}"/>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2 2 2" xfId="16377" xr:uid="{663A9B5D-839D-4AD4-A0C5-D0825EA0181A}"/>
    <cellStyle name="Note 3 2 2 4 2 3" xfId="12164" xr:uid="{B499E434-8B00-4984-BB2C-4FF996A4B271}"/>
    <cellStyle name="Note 3 2 2 4 3" xfId="5737" xr:uid="{00000000-0005-0000-0000-00006E210000}"/>
    <cellStyle name="Note 3 2 2 4 3 2" xfId="14232" xr:uid="{76182992-DA76-46DB-AF0B-50FA0E10E464}"/>
    <cellStyle name="Note 3 2 2 4 4" xfId="10019" xr:uid="{66B41CB7-A3F3-480A-B3B9-B5EEA5085D75}"/>
    <cellStyle name="Note 3 2 2 5" xfId="1844" xr:uid="{00000000-0005-0000-0000-00006F210000}"/>
    <cellStyle name="Note 3 2 2 5 2" xfId="4073" xr:uid="{00000000-0005-0000-0000-000070210000}"/>
    <cellStyle name="Note 3 2 2 5 2 2" xfId="8295" xr:uid="{00000000-0005-0000-0000-000071210000}"/>
    <cellStyle name="Note 3 2 2 5 2 2 2" xfId="16790" xr:uid="{C0F29C96-80BC-4F9C-8F9F-20C302D88038}"/>
    <cellStyle name="Note 3 2 2 5 2 3" xfId="12577" xr:uid="{709D30E5-706F-4C8F-B3FE-3CD67DB02F50}"/>
    <cellStyle name="Note 3 2 2 5 3" xfId="6150" xr:uid="{00000000-0005-0000-0000-000072210000}"/>
    <cellStyle name="Note 3 2 2 5 3 2" xfId="14645" xr:uid="{80AD63B9-3964-4C40-8D4E-64AA90DC85DD}"/>
    <cellStyle name="Note 3 2 2 5 4" xfId="10432" xr:uid="{3C741A5F-0C6E-4FEC-8377-890410093B97}"/>
    <cellStyle name="Note 3 2 2 6" xfId="2257" xr:uid="{00000000-0005-0000-0000-000073210000}"/>
    <cellStyle name="Note 3 2 2 6 2" xfId="4486" xr:uid="{00000000-0005-0000-0000-000074210000}"/>
    <cellStyle name="Note 3 2 2 6 2 2" xfId="8708" xr:uid="{00000000-0005-0000-0000-000075210000}"/>
    <cellStyle name="Note 3 2 2 6 2 2 2" xfId="17203" xr:uid="{E355F7A8-5C13-43D2-88C4-117F7C6CC893}"/>
    <cellStyle name="Note 3 2 2 6 2 3" xfId="12990" xr:uid="{6BD5F0B6-A722-4774-98CD-92ABA10619A8}"/>
    <cellStyle name="Note 3 2 2 6 3" xfId="6563" xr:uid="{00000000-0005-0000-0000-000076210000}"/>
    <cellStyle name="Note 3 2 2 6 3 2" xfId="15058" xr:uid="{D48B70E5-4A7C-4929-BF4E-6FF1A1CC9973}"/>
    <cellStyle name="Note 3 2 2 6 4" xfId="10845" xr:uid="{206F5FB5-1461-47FF-A6DE-44291BC2DDCD}"/>
    <cellStyle name="Note 3 2 2 7" xfId="2693" xr:uid="{00000000-0005-0000-0000-000077210000}"/>
    <cellStyle name="Note 3 2 2 7 2" xfId="6976" xr:uid="{00000000-0005-0000-0000-000078210000}"/>
    <cellStyle name="Note 3 2 2 7 2 2" xfId="15471" xr:uid="{420BFF7B-A7A3-495E-83DA-43A8FCBF815D}"/>
    <cellStyle name="Note 3 2 2 7 3" xfId="11258" xr:uid="{F554A7B7-ADAF-4385-8503-5692A21327C5}"/>
    <cellStyle name="Note 3 2 2 8" xfId="2752" xr:uid="{00000000-0005-0000-0000-000079210000}"/>
    <cellStyle name="Note 3 2 2 9" xfId="2833" xr:uid="{00000000-0005-0000-0000-00007A210000}"/>
    <cellStyle name="Note 3 2 2 9 2" xfId="7056" xr:uid="{00000000-0005-0000-0000-00007B210000}"/>
    <cellStyle name="Note 3 2 2 9 2 2" xfId="15551" xr:uid="{1BF5DF62-E031-4365-8A70-1BEDBBD9A258}"/>
    <cellStyle name="Note 3 2 2 9 3" xfId="11338" xr:uid="{9BB8CE11-0E28-41F7-A6FA-6A97653F1C38}"/>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2 2 2" xfId="15966" xr:uid="{43C5ECF1-A256-4C41-9CDE-34BC2D21A56E}"/>
    <cellStyle name="Note 3 2 3 2 2 3" xfId="11753" xr:uid="{8D72789F-6D54-4982-A16F-BFFA710EDC38}"/>
    <cellStyle name="Note 3 2 3 2 3" xfId="5326" xr:uid="{00000000-0005-0000-0000-000080210000}"/>
    <cellStyle name="Note 3 2 3 2 3 2" xfId="13821" xr:uid="{73427429-1673-4E99-9818-F122709CD909}"/>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2 2 2" xfId="16379" xr:uid="{E2C53686-ADDB-4494-991F-85A5A0D794D9}"/>
    <cellStyle name="Note 3 2 3 3 2 3" xfId="12166" xr:uid="{B09524BD-7912-4E74-A1AC-288BE1DAFC18}"/>
    <cellStyle name="Note 3 2 3 3 3" xfId="5739" xr:uid="{00000000-0005-0000-0000-000084210000}"/>
    <cellStyle name="Note 3 2 3 3 3 2" xfId="14234" xr:uid="{3B4EE8C5-5973-447E-800F-EE66A59DD9CC}"/>
    <cellStyle name="Note 3 2 3 3 4" xfId="10021" xr:uid="{00B04180-E8F9-4C30-B595-EC3FB37C9C53}"/>
    <cellStyle name="Note 3 2 3 4" xfId="1846" xr:uid="{00000000-0005-0000-0000-000085210000}"/>
    <cellStyle name="Note 3 2 3 4 2" xfId="4075" xr:uid="{00000000-0005-0000-0000-000086210000}"/>
    <cellStyle name="Note 3 2 3 4 2 2" xfId="8297" xr:uid="{00000000-0005-0000-0000-000087210000}"/>
    <cellStyle name="Note 3 2 3 4 2 2 2" xfId="16792" xr:uid="{4DD40323-0C41-437C-80B9-501170E8F7F9}"/>
    <cellStyle name="Note 3 2 3 4 2 3" xfId="12579" xr:uid="{A4DD740B-41B0-472C-9686-D872F7650087}"/>
    <cellStyle name="Note 3 2 3 4 3" xfId="6152" xr:uid="{00000000-0005-0000-0000-000088210000}"/>
    <cellStyle name="Note 3 2 3 4 3 2" xfId="14647" xr:uid="{9798AAA1-C721-4686-B0DD-F2540BE81643}"/>
    <cellStyle name="Note 3 2 3 4 4" xfId="10434" xr:uid="{EC37C8AD-3829-4FB3-BBD0-CC5BB3A5504E}"/>
    <cellStyle name="Note 3 2 3 5" xfId="2259" xr:uid="{00000000-0005-0000-0000-000089210000}"/>
    <cellStyle name="Note 3 2 3 5 2" xfId="4488" xr:uid="{00000000-0005-0000-0000-00008A210000}"/>
    <cellStyle name="Note 3 2 3 5 2 2" xfId="8710" xr:uid="{00000000-0005-0000-0000-00008B210000}"/>
    <cellStyle name="Note 3 2 3 5 2 2 2" xfId="17205" xr:uid="{E5C63745-3689-454A-A43A-B6EA1986FC44}"/>
    <cellStyle name="Note 3 2 3 5 2 3" xfId="12992" xr:uid="{2FB1465D-65CD-4672-9287-14F5DC896E09}"/>
    <cellStyle name="Note 3 2 3 5 3" xfId="6565" xr:uid="{00000000-0005-0000-0000-00008C210000}"/>
    <cellStyle name="Note 3 2 3 5 3 2" xfId="15060" xr:uid="{15BF903B-EC63-4B9A-89B9-6024806DCAC0}"/>
    <cellStyle name="Note 3 2 3 5 4" xfId="10847" xr:uid="{5C34B694-82C3-40E3-AEF8-71954D78D22B}"/>
    <cellStyle name="Note 3 2 3 6" xfId="2695" xr:uid="{00000000-0005-0000-0000-00008D210000}"/>
    <cellStyle name="Note 3 2 3 6 2" xfId="6978" xr:uid="{00000000-0005-0000-0000-00008E210000}"/>
    <cellStyle name="Note 3 2 3 6 2 2" xfId="15473" xr:uid="{AC0CCB41-2431-48FD-933B-CF0305BD6867}"/>
    <cellStyle name="Note 3 2 3 6 3" xfId="11260" xr:uid="{6BFDB188-329B-4C0F-8E81-F90BDFEA3E50}"/>
    <cellStyle name="Note 3 2 3 7" xfId="2754" xr:uid="{00000000-0005-0000-0000-00008F210000}"/>
    <cellStyle name="Note 3 2 3 8" xfId="2835" xr:uid="{00000000-0005-0000-0000-000090210000}"/>
    <cellStyle name="Note 3 2 3 8 2" xfId="7058" xr:uid="{00000000-0005-0000-0000-000091210000}"/>
    <cellStyle name="Note 3 2 3 8 2 2" xfId="15553" xr:uid="{6E02B4EC-6D14-4CEA-8BA7-B6D371BC65CD}"/>
    <cellStyle name="Note 3 2 3 8 3" xfId="11340" xr:uid="{6D8F1E8C-431E-4D49-B6A3-8B94DD075289}"/>
    <cellStyle name="Note 3 2 3 9" xfId="4913" xr:uid="{00000000-0005-0000-0000-000092210000}"/>
    <cellStyle name="Note 3 2 3 9 2" xfId="13408" xr:uid="{841C3C13-EDC8-4C54-81A5-7A059B5FAE43}"/>
    <cellStyle name="Note 3 2 4" xfId="1014" xr:uid="{00000000-0005-0000-0000-000093210000}"/>
    <cellStyle name="Note 3 2 4 2" xfId="3246" xr:uid="{00000000-0005-0000-0000-000094210000}"/>
    <cellStyle name="Note 3 2 4 2 2" xfId="7468" xr:uid="{00000000-0005-0000-0000-000095210000}"/>
    <cellStyle name="Note 3 2 4 2 2 2" xfId="15963" xr:uid="{7460CBBF-8FEF-442B-863C-C580FB17AF7C}"/>
    <cellStyle name="Note 3 2 4 2 3" xfId="11750" xr:uid="{07EBBC04-4885-4EB7-A729-727AC21B98E1}"/>
    <cellStyle name="Note 3 2 4 3" xfId="5323" xr:uid="{00000000-0005-0000-0000-000096210000}"/>
    <cellStyle name="Note 3 2 4 3 2" xfId="13818" xr:uid="{067041F1-2DFE-436D-A6FC-8AC5F11ECA1B}"/>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2 2 2" xfId="16376" xr:uid="{11C089F0-FDCA-4463-8A67-C76ABC93EBAA}"/>
    <cellStyle name="Note 3 2 5 2 3" xfId="12163" xr:uid="{4693233B-7316-46CF-B829-4CC1D20F2E24}"/>
    <cellStyle name="Note 3 2 5 3" xfId="5736" xr:uid="{00000000-0005-0000-0000-00009A210000}"/>
    <cellStyle name="Note 3 2 5 3 2" xfId="14231" xr:uid="{583456E3-2E1C-468E-9692-C9925DFEACE1}"/>
    <cellStyle name="Note 3 2 5 4" xfId="10018" xr:uid="{31BFBA4B-7278-4A8B-A577-07956986AFE2}"/>
    <cellStyle name="Note 3 2 6" xfId="1843" xr:uid="{00000000-0005-0000-0000-00009B210000}"/>
    <cellStyle name="Note 3 2 6 2" xfId="4072" xr:uid="{00000000-0005-0000-0000-00009C210000}"/>
    <cellStyle name="Note 3 2 6 2 2" xfId="8294" xr:uid="{00000000-0005-0000-0000-00009D210000}"/>
    <cellStyle name="Note 3 2 6 2 2 2" xfId="16789" xr:uid="{F74F25AD-4D5D-440D-9EE5-4D40F7D725CE}"/>
    <cellStyle name="Note 3 2 6 2 3" xfId="12576" xr:uid="{2E62CDC2-CBE6-40D3-8B22-B42D1EBDF880}"/>
    <cellStyle name="Note 3 2 6 3" xfId="6149" xr:uid="{00000000-0005-0000-0000-00009E210000}"/>
    <cellStyle name="Note 3 2 6 3 2" xfId="14644" xr:uid="{6FFB564C-3918-46F9-B3EE-2B8D039C5290}"/>
    <cellStyle name="Note 3 2 6 4" xfId="10431" xr:uid="{7D6B4A8F-A249-4444-9ECC-5B32E6C4C5E7}"/>
    <cellStyle name="Note 3 2 7" xfId="2256" xr:uid="{00000000-0005-0000-0000-00009F210000}"/>
    <cellStyle name="Note 3 2 7 2" xfId="4485" xr:uid="{00000000-0005-0000-0000-0000A0210000}"/>
    <cellStyle name="Note 3 2 7 2 2" xfId="8707" xr:uid="{00000000-0005-0000-0000-0000A1210000}"/>
    <cellStyle name="Note 3 2 7 2 2 2" xfId="17202" xr:uid="{CFC85A88-8584-41CA-9357-59F6F3ED93FB}"/>
    <cellStyle name="Note 3 2 7 2 3" xfId="12989" xr:uid="{BDEE8448-86A4-45B2-A9D4-F28E9C48079F}"/>
    <cellStyle name="Note 3 2 7 3" xfId="6562" xr:uid="{00000000-0005-0000-0000-0000A2210000}"/>
    <cellStyle name="Note 3 2 7 3 2" xfId="15057" xr:uid="{D094F742-3EB9-489A-8E42-353B52D109F0}"/>
    <cellStyle name="Note 3 2 7 4" xfId="10844" xr:uid="{9A935F65-5C59-4DAB-B3E7-E613D49F92EA}"/>
    <cellStyle name="Note 3 2 8" xfId="2692" xr:uid="{00000000-0005-0000-0000-0000A3210000}"/>
    <cellStyle name="Note 3 2 8 2" xfId="6975" xr:uid="{00000000-0005-0000-0000-0000A4210000}"/>
    <cellStyle name="Note 3 2 8 2 2" xfId="15470" xr:uid="{25FB45BB-83C5-43B8-AF7E-BF6698E316B0}"/>
    <cellStyle name="Note 3 2 8 3" xfId="11257" xr:uid="{36835D57-33F8-439C-A1E4-4D8291550BBB}"/>
    <cellStyle name="Note 3 2 9" xfId="2751" xr:uid="{00000000-0005-0000-0000-0000A5210000}"/>
    <cellStyle name="Note 3 3" xfId="558" xr:uid="{00000000-0005-0000-0000-0000A6210000}"/>
    <cellStyle name="Note 3 3 10" xfId="4914" xr:uid="{00000000-0005-0000-0000-0000A7210000}"/>
    <cellStyle name="Note 3 3 10 2" xfId="13409" xr:uid="{CA21C3EA-D403-4297-916E-392CCFE6418A}"/>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2 2 2" xfId="15968" xr:uid="{FF81EE47-0399-4CD9-89FD-55F8D9611258}"/>
    <cellStyle name="Note 3 3 2 2 2 3" xfId="11755" xr:uid="{E7168786-4D76-4DA3-B4BE-D97D01FEF788}"/>
    <cellStyle name="Note 3 3 2 2 3" xfId="5328" xr:uid="{00000000-0005-0000-0000-0000AC210000}"/>
    <cellStyle name="Note 3 3 2 2 3 2" xfId="13823" xr:uid="{7228F206-D81F-4A95-99D9-A7EA2E084FF5}"/>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2 2 2" xfId="16381" xr:uid="{B1C9C659-2122-4972-B2F5-3386925FB720}"/>
    <cellStyle name="Note 3 3 2 3 2 3" xfId="12168" xr:uid="{BB8226C3-A23E-49BC-A663-E49ED510E357}"/>
    <cellStyle name="Note 3 3 2 3 3" xfId="5741" xr:uid="{00000000-0005-0000-0000-0000B0210000}"/>
    <cellStyle name="Note 3 3 2 3 3 2" xfId="14236" xr:uid="{C74CA62A-C2BE-4C9D-B021-B7C6AFF314A8}"/>
    <cellStyle name="Note 3 3 2 3 4" xfId="10023" xr:uid="{BE8EBF43-67F4-4914-AA0C-FA51787F44D2}"/>
    <cellStyle name="Note 3 3 2 4" xfId="1848" xr:uid="{00000000-0005-0000-0000-0000B1210000}"/>
    <cellStyle name="Note 3 3 2 4 2" xfId="4077" xr:uid="{00000000-0005-0000-0000-0000B2210000}"/>
    <cellStyle name="Note 3 3 2 4 2 2" xfId="8299" xr:uid="{00000000-0005-0000-0000-0000B3210000}"/>
    <cellStyle name="Note 3 3 2 4 2 2 2" xfId="16794" xr:uid="{D23F1736-2BB4-4143-ADA8-A58EC4195399}"/>
    <cellStyle name="Note 3 3 2 4 2 3" xfId="12581" xr:uid="{7CA1F030-63A4-4B7D-B107-BB3381EAC4CB}"/>
    <cellStyle name="Note 3 3 2 4 3" xfId="6154" xr:uid="{00000000-0005-0000-0000-0000B4210000}"/>
    <cellStyle name="Note 3 3 2 4 3 2" xfId="14649" xr:uid="{488A7C5F-EF79-4D2F-A8C3-580A62D69C0A}"/>
    <cellStyle name="Note 3 3 2 4 4" xfId="10436" xr:uid="{AC05AE90-191F-4F77-BA94-912A38394648}"/>
    <cellStyle name="Note 3 3 2 5" xfId="2261" xr:uid="{00000000-0005-0000-0000-0000B5210000}"/>
    <cellStyle name="Note 3 3 2 5 2" xfId="4490" xr:uid="{00000000-0005-0000-0000-0000B6210000}"/>
    <cellStyle name="Note 3 3 2 5 2 2" xfId="8712" xr:uid="{00000000-0005-0000-0000-0000B7210000}"/>
    <cellStyle name="Note 3 3 2 5 2 2 2" xfId="17207" xr:uid="{BEF439B1-3D9A-4AD6-A380-7731802E6DC1}"/>
    <cellStyle name="Note 3 3 2 5 2 3" xfId="12994" xr:uid="{41F92489-3D3A-4BC8-90C2-5DDEE00D4DBD}"/>
    <cellStyle name="Note 3 3 2 5 3" xfId="6567" xr:uid="{00000000-0005-0000-0000-0000B8210000}"/>
    <cellStyle name="Note 3 3 2 5 3 2" xfId="15062" xr:uid="{7F466141-EBA7-4836-B91C-6BBA837A3828}"/>
    <cellStyle name="Note 3 3 2 5 4" xfId="10849" xr:uid="{98B6E9B3-6D82-47BD-A25B-9BD5E62558FE}"/>
    <cellStyle name="Note 3 3 2 6" xfId="2697" xr:uid="{00000000-0005-0000-0000-0000B9210000}"/>
    <cellStyle name="Note 3 3 2 6 2" xfId="6980" xr:uid="{00000000-0005-0000-0000-0000BA210000}"/>
    <cellStyle name="Note 3 3 2 6 2 2" xfId="15475" xr:uid="{55BDA1CF-2E1B-4BB7-9BB4-479BDA0BC7A3}"/>
    <cellStyle name="Note 3 3 2 6 3" xfId="11262" xr:uid="{ED0A1D01-E13D-455D-8C21-84174DF4C58F}"/>
    <cellStyle name="Note 3 3 2 7" xfId="2756" xr:uid="{00000000-0005-0000-0000-0000BB210000}"/>
    <cellStyle name="Note 3 3 2 8" xfId="2837" xr:uid="{00000000-0005-0000-0000-0000BC210000}"/>
    <cellStyle name="Note 3 3 2 8 2" xfId="7060" xr:uid="{00000000-0005-0000-0000-0000BD210000}"/>
    <cellStyle name="Note 3 3 2 8 2 2" xfId="15555" xr:uid="{2F4FC4FA-F66E-4628-88AF-00CEA6C74A0F}"/>
    <cellStyle name="Note 3 3 2 8 3" xfId="11342" xr:uid="{DCAFFAA5-B9AB-475A-BBE0-1B33FBFE9F71}"/>
    <cellStyle name="Note 3 3 2 9" xfId="4915" xr:uid="{00000000-0005-0000-0000-0000BE210000}"/>
    <cellStyle name="Note 3 3 2 9 2" xfId="13410" xr:uid="{0E852116-5D14-430C-8518-43300C509F72}"/>
    <cellStyle name="Note 3 3 3" xfId="1018" xr:uid="{00000000-0005-0000-0000-0000BF210000}"/>
    <cellStyle name="Note 3 3 3 2" xfId="3250" xr:uid="{00000000-0005-0000-0000-0000C0210000}"/>
    <cellStyle name="Note 3 3 3 2 2" xfId="7472" xr:uid="{00000000-0005-0000-0000-0000C1210000}"/>
    <cellStyle name="Note 3 3 3 2 2 2" xfId="15967" xr:uid="{3180C747-6FC4-4059-93C6-8663CAFFB724}"/>
    <cellStyle name="Note 3 3 3 2 3" xfId="11754" xr:uid="{C0031D4A-6EED-41A1-8CA8-ABF03FCEC20B}"/>
    <cellStyle name="Note 3 3 3 3" xfId="5327" xr:uid="{00000000-0005-0000-0000-0000C2210000}"/>
    <cellStyle name="Note 3 3 3 3 2" xfId="13822" xr:uid="{78FE5EB1-8886-4719-89C3-C496CEEDB82F}"/>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2 2 2" xfId="16380" xr:uid="{CC9765D2-49DE-4B5B-BCB3-FAB9E2687B62}"/>
    <cellStyle name="Note 3 3 4 2 3" xfId="12167" xr:uid="{FA49BBF9-3B7D-42E5-88EC-7CDBA609665A}"/>
    <cellStyle name="Note 3 3 4 3" xfId="5740" xr:uid="{00000000-0005-0000-0000-0000C6210000}"/>
    <cellStyle name="Note 3 3 4 3 2" xfId="14235" xr:uid="{877E8E7E-6DFF-4E7A-8A87-6AAD75B12EBF}"/>
    <cellStyle name="Note 3 3 4 4" xfId="10022" xr:uid="{9A19F08C-13CA-408B-B2E7-C5050F7C639E}"/>
    <cellStyle name="Note 3 3 5" xfId="1847" xr:uid="{00000000-0005-0000-0000-0000C7210000}"/>
    <cellStyle name="Note 3 3 5 2" xfId="4076" xr:uid="{00000000-0005-0000-0000-0000C8210000}"/>
    <cellStyle name="Note 3 3 5 2 2" xfId="8298" xr:uid="{00000000-0005-0000-0000-0000C9210000}"/>
    <cellStyle name="Note 3 3 5 2 2 2" xfId="16793" xr:uid="{73A844EE-1AA4-4B7A-85C7-95A2CB37B74B}"/>
    <cellStyle name="Note 3 3 5 2 3" xfId="12580" xr:uid="{C95320B1-54A2-41B1-8157-47A55904BCB9}"/>
    <cellStyle name="Note 3 3 5 3" xfId="6153" xr:uid="{00000000-0005-0000-0000-0000CA210000}"/>
    <cellStyle name="Note 3 3 5 3 2" xfId="14648" xr:uid="{F96BF959-681F-4D90-948B-A33552315A82}"/>
    <cellStyle name="Note 3 3 5 4" xfId="10435" xr:uid="{48109306-8AAF-4923-822C-B75072E09C29}"/>
    <cellStyle name="Note 3 3 6" xfId="2260" xr:uid="{00000000-0005-0000-0000-0000CB210000}"/>
    <cellStyle name="Note 3 3 6 2" xfId="4489" xr:uid="{00000000-0005-0000-0000-0000CC210000}"/>
    <cellStyle name="Note 3 3 6 2 2" xfId="8711" xr:uid="{00000000-0005-0000-0000-0000CD210000}"/>
    <cellStyle name="Note 3 3 6 2 2 2" xfId="17206" xr:uid="{1C01989B-E44F-48BB-9161-C929D5714169}"/>
    <cellStyle name="Note 3 3 6 2 3" xfId="12993" xr:uid="{8F63A771-BCD2-4C2A-8106-BF8C5525415D}"/>
    <cellStyle name="Note 3 3 6 3" xfId="6566" xr:uid="{00000000-0005-0000-0000-0000CE210000}"/>
    <cellStyle name="Note 3 3 6 3 2" xfId="15061" xr:uid="{62C225D0-A0A4-4A27-96AE-301196C67422}"/>
    <cellStyle name="Note 3 3 6 4" xfId="10848" xr:uid="{5BF94338-9709-4A81-BBBC-BED9463A1D28}"/>
    <cellStyle name="Note 3 3 7" xfId="2696" xr:uid="{00000000-0005-0000-0000-0000CF210000}"/>
    <cellStyle name="Note 3 3 7 2" xfId="6979" xr:uid="{00000000-0005-0000-0000-0000D0210000}"/>
    <cellStyle name="Note 3 3 7 2 2" xfId="15474" xr:uid="{9FAB0BD6-8829-4F25-8A9C-05991EA760CC}"/>
    <cellStyle name="Note 3 3 7 3" xfId="11261" xr:uid="{E5AB8364-78E7-4E77-B4B7-0C3E89EE49CE}"/>
    <cellStyle name="Note 3 3 8" xfId="2755" xr:uid="{00000000-0005-0000-0000-0000D1210000}"/>
    <cellStyle name="Note 3 3 9" xfId="2836" xr:uid="{00000000-0005-0000-0000-0000D2210000}"/>
    <cellStyle name="Note 3 3 9 2" xfId="7059" xr:uid="{00000000-0005-0000-0000-0000D3210000}"/>
    <cellStyle name="Note 3 3 9 2 2" xfId="15554" xr:uid="{D1B2C26A-49D0-4877-9BFF-09B97EBF07FC}"/>
    <cellStyle name="Note 3 3 9 3" xfId="11341" xr:uid="{C3F1B6F9-81E4-4E74-93AA-0175F41E7FBE}"/>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2 2 2" xfId="15969" xr:uid="{31BD4CC6-0973-4AAC-B727-770CF26C1432}"/>
    <cellStyle name="Note 3 4 2 2 3" xfId="11756" xr:uid="{F9845BD2-87CD-4D35-8E87-F8A5CF107B9F}"/>
    <cellStyle name="Note 3 4 2 3" xfId="5329" xr:uid="{00000000-0005-0000-0000-0000D8210000}"/>
    <cellStyle name="Note 3 4 2 3 2" xfId="13824" xr:uid="{A79063E4-AAEE-4915-9F70-B0B90350A1E9}"/>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2 2 2" xfId="16382" xr:uid="{4FB84BE6-5DB2-4D10-A2FB-DB1D4DC30C6F}"/>
    <cellStyle name="Note 3 4 3 2 3" xfId="12169" xr:uid="{E383088E-3D3B-47FE-8D25-7EA010A71E03}"/>
    <cellStyle name="Note 3 4 3 3" xfId="5742" xr:uid="{00000000-0005-0000-0000-0000DC210000}"/>
    <cellStyle name="Note 3 4 3 3 2" xfId="14237" xr:uid="{7A5A8F61-267D-4297-8D56-483EF6F355FE}"/>
    <cellStyle name="Note 3 4 3 4" xfId="10024" xr:uid="{04EC9A6F-3588-4795-B81F-97C4D9E919A1}"/>
    <cellStyle name="Note 3 4 4" xfId="1849" xr:uid="{00000000-0005-0000-0000-0000DD210000}"/>
    <cellStyle name="Note 3 4 4 2" xfId="4078" xr:uid="{00000000-0005-0000-0000-0000DE210000}"/>
    <cellStyle name="Note 3 4 4 2 2" xfId="8300" xr:uid="{00000000-0005-0000-0000-0000DF210000}"/>
    <cellStyle name="Note 3 4 4 2 2 2" xfId="16795" xr:uid="{CB8C9DA4-5B03-4452-AC9A-6CAA7B2856C4}"/>
    <cellStyle name="Note 3 4 4 2 3" xfId="12582" xr:uid="{52D61A29-63B3-4BCB-95A0-DF9D0A21D5FA}"/>
    <cellStyle name="Note 3 4 4 3" xfId="6155" xr:uid="{00000000-0005-0000-0000-0000E0210000}"/>
    <cellStyle name="Note 3 4 4 3 2" xfId="14650" xr:uid="{D86B62EF-0CDF-4B16-AEBC-869DBAC99A66}"/>
    <cellStyle name="Note 3 4 4 4" xfId="10437" xr:uid="{4B3C5534-D5A6-4B12-8100-B4F3BD1B332B}"/>
    <cellStyle name="Note 3 4 5" xfId="2262" xr:uid="{00000000-0005-0000-0000-0000E1210000}"/>
    <cellStyle name="Note 3 4 5 2" xfId="4491" xr:uid="{00000000-0005-0000-0000-0000E2210000}"/>
    <cellStyle name="Note 3 4 5 2 2" xfId="8713" xr:uid="{00000000-0005-0000-0000-0000E3210000}"/>
    <cellStyle name="Note 3 4 5 2 2 2" xfId="17208" xr:uid="{67C491D7-9F9F-4C9A-8300-66900369CD68}"/>
    <cellStyle name="Note 3 4 5 2 3" xfId="12995" xr:uid="{46E6F863-78E1-4AC4-90A9-C51D766CEBDD}"/>
    <cellStyle name="Note 3 4 5 3" xfId="6568" xr:uid="{00000000-0005-0000-0000-0000E4210000}"/>
    <cellStyle name="Note 3 4 5 3 2" xfId="15063" xr:uid="{830CFA55-3E4E-48C2-B6A1-688B548BAD26}"/>
    <cellStyle name="Note 3 4 5 4" xfId="10850" xr:uid="{BDE81A98-A3B7-4A70-AB51-2A39A7648B81}"/>
    <cellStyle name="Note 3 4 6" xfId="2698" xr:uid="{00000000-0005-0000-0000-0000E5210000}"/>
    <cellStyle name="Note 3 4 6 2" xfId="6981" xr:uid="{00000000-0005-0000-0000-0000E6210000}"/>
    <cellStyle name="Note 3 4 6 2 2" xfId="15476" xr:uid="{892BFA85-9356-4096-9CBF-F7F478B447E6}"/>
    <cellStyle name="Note 3 4 6 3" xfId="11263" xr:uid="{F37611CE-3B40-491C-B508-F4966AEF2339}"/>
    <cellStyle name="Note 3 4 7" xfId="2757" xr:uid="{00000000-0005-0000-0000-0000E7210000}"/>
    <cellStyle name="Note 3 4 8" xfId="2838" xr:uid="{00000000-0005-0000-0000-0000E8210000}"/>
    <cellStyle name="Note 3 4 8 2" xfId="7061" xr:uid="{00000000-0005-0000-0000-0000E9210000}"/>
    <cellStyle name="Note 3 4 8 2 2" xfId="15556" xr:uid="{1D6BFAED-9872-45C1-B37E-C7C5DE51C10E}"/>
    <cellStyle name="Note 3 4 8 3" xfId="11343" xr:uid="{551F18B2-96B1-4855-9144-3EDB1D4B5AD0}"/>
    <cellStyle name="Note 3 4 9" xfId="4916" xr:uid="{00000000-0005-0000-0000-0000EA210000}"/>
    <cellStyle name="Note 3 4 9 2" xfId="13411" xr:uid="{17CA9B4E-E850-44E3-B904-3B90183AB2B1}"/>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2 2 2" xfId="15970" xr:uid="{707F900D-C83B-4204-A72E-2455D9734828}"/>
    <cellStyle name="Note 3 5 2 2 3" xfId="11757" xr:uid="{94C6D406-8080-4928-9F8C-C71D2C05898B}"/>
    <cellStyle name="Note 3 5 2 3" xfId="5330" xr:uid="{00000000-0005-0000-0000-0000EF210000}"/>
    <cellStyle name="Note 3 5 2 3 2" xfId="13825" xr:uid="{3B02F17B-18B8-4377-8667-E747995438A3}"/>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2 2 2" xfId="16383" xr:uid="{4BEFF7D8-D141-4FDC-A4E0-8CDE14C6C615}"/>
    <cellStyle name="Note 3 5 3 2 3" xfId="12170" xr:uid="{1CF7B3AB-373D-4A29-9FCC-1E0A2A038D2C}"/>
    <cellStyle name="Note 3 5 3 3" xfId="5743" xr:uid="{00000000-0005-0000-0000-0000F3210000}"/>
    <cellStyle name="Note 3 5 3 3 2" xfId="14238" xr:uid="{E81C2EF1-FD5A-4BA3-9410-2AECC559F7C5}"/>
    <cellStyle name="Note 3 5 3 4" xfId="10025" xr:uid="{B91E6A31-6409-4F3F-8C6A-1939B88CD97D}"/>
    <cellStyle name="Note 3 5 4" xfId="1850" xr:uid="{00000000-0005-0000-0000-0000F4210000}"/>
    <cellStyle name="Note 3 5 4 2" xfId="4079" xr:uid="{00000000-0005-0000-0000-0000F5210000}"/>
    <cellStyle name="Note 3 5 4 2 2" xfId="8301" xr:uid="{00000000-0005-0000-0000-0000F6210000}"/>
    <cellStyle name="Note 3 5 4 2 2 2" xfId="16796" xr:uid="{C09F150B-C043-4812-9EE0-52CB7F82D4B2}"/>
    <cellStyle name="Note 3 5 4 2 3" xfId="12583" xr:uid="{8FC4EA50-BAAE-4D9F-98B5-70117432F9D6}"/>
    <cellStyle name="Note 3 5 4 3" xfId="6156" xr:uid="{00000000-0005-0000-0000-0000F7210000}"/>
    <cellStyle name="Note 3 5 4 3 2" xfId="14651" xr:uid="{A8CC763D-2493-4B25-9206-580B19664BDD}"/>
    <cellStyle name="Note 3 5 4 4" xfId="10438" xr:uid="{ADD14420-52B8-4B4E-8B23-A4A0A7BB4A40}"/>
    <cellStyle name="Note 3 5 5" xfId="2263" xr:uid="{00000000-0005-0000-0000-0000F8210000}"/>
    <cellStyle name="Note 3 5 5 2" xfId="4492" xr:uid="{00000000-0005-0000-0000-0000F9210000}"/>
    <cellStyle name="Note 3 5 5 2 2" xfId="8714" xr:uid="{00000000-0005-0000-0000-0000FA210000}"/>
    <cellStyle name="Note 3 5 5 2 2 2" xfId="17209" xr:uid="{77C49AB9-8747-40A2-B283-CA7B425F28DD}"/>
    <cellStyle name="Note 3 5 5 2 3" xfId="12996" xr:uid="{D8EA0428-4E1E-4FE4-9E99-0E4DF5B11654}"/>
    <cellStyle name="Note 3 5 5 3" xfId="6569" xr:uid="{00000000-0005-0000-0000-0000FB210000}"/>
    <cellStyle name="Note 3 5 5 3 2" xfId="15064" xr:uid="{D49A188C-6CC4-49E2-B01F-432614EE5FD4}"/>
    <cellStyle name="Note 3 5 5 4" xfId="10851" xr:uid="{EEC85F7C-FC39-4503-92B1-5FD66E1EAB65}"/>
    <cellStyle name="Note 3 5 6" xfId="2699" xr:uid="{00000000-0005-0000-0000-0000FC210000}"/>
    <cellStyle name="Note 3 5 6 2" xfId="6982" xr:uid="{00000000-0005-0000-0000-0000FD210000}"/>
    <cellStyle name="Note 3 5 6 2 2" xfId="15477" xr:uid="{6A5E200A-2AB3-47A4-A2AD-615D48A418C5}"/>
    <cellStyle name="Note 3 5 6 3" xfId="11264" xr:uid="{9F96C5F0-F38F-4150-8558-1EE002A8316B}"/>
    <cellStyle name="Note 3 5 7" xfId="2758" xr:uid="{00000000-0005-0000-0000-0000FE210000}"/>
    <cellStyle name="Note 3 5 8" xfId="2839" xr:uid="{00000000-0005-0000-0000-0000FF210000}"/>
    <cellStyle name="Note 3 5 8 2" xfId="7062" xr:uid="{00000000-0005-0000-0000-000000220000}"/>
    <cellStyle name="Note 3 5 8 2 2" xfId="15557" xr:uid="{5529339A-87FA-45C8-9DC1-74F995D1ACF2}"/>
    <cellStyle name="Note 3 5 8 3" xfId="11344" xr:uid="{BC3B7C52-E134-4071-A583-89E39CC1CA3E}"/>
    <cellStyle name="Note 3 5 9" xfId="4917" xr:uid="{00000000-0005-0000-0000-000001220000}"/>
    <cellStyle name="Note 3 5 9 2" xfId="13412" xr:uid="{C87943BD-29C4-47DC-9913-E974481B87AA}"/>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2 2" xfId="17212" xr:uid="{4EFC353C-1804-4FC7-8955-7F5929B7BAD1}"/>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7231" xr:uid="{63E81A3F-C041-4ADB-9BE1-03EB680573F6}"/>
    <cellStyle name="Percent 4 3 2 2 2 2 3" xfId="17228" xr:uid="{14B0110F-09D6-4D0F-AF1B-7184EB71D795}"/>
    <cellStyle name="Percent 4 3 2 2 2 3" xfId="17225" xr:uid="{76D98DEB-EE49-44DB-A4D6-55E592645573}"/>
    <cellStyle name="Percent 4 3 2 2 3" xfId="17221" xr:uid="{1A905F27-6137-4279-85CB-227C1F547B06}"/>
    <cellStyle name="Percent 4 3 2 3" xfId="17218" xr:uid="{1CB5FED7-BA55-4769-9C53-3F917C0671B5}"/>
    <cellStyle name="Percent 4 3 3" xfId="17215" xr:uid="{ED120A3D-B4B9-4772-ACCD-30D491F240A5}"/>
    <cellStyle name="Percent 4 4" xfId="12999" xr:uid="{DEF2EA1E-998B-4755-A571-D74669782FB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eahhousingportal.sharepoint.com/sites/1462_GREENFIELDCOMMONSII/Shared%20Documents/RED/ACTIVE%20PROJECTS/Finance/State%20Government/_2026%20TCAC-CDLAC%20(GFC2)/COPY%20R3_!Submitted/_R3%20Revisions/Attachment%2040.%2008.05.2025%20(GFC2)rev1.xlsx" TargetMode="External"/><Relationship Id="rId2" Type="http://schemas.microsoft.com/office/2019/04/relationships/externalLinkLongPath" Target="/sites/1462_GREENFIELDCOMMONSII/Shared%20Documents/RED/ACTIVE%20PROJECTS/Finance/State%20Government/_2026%20TCAC-CDLAC%20(GFC2)/COPY%20R3_!Submitted/_R3%20Revisions/Attachment%2040.%2008.05.2025%20(GFC2)rev1.xlsx?09B0D078" TargetMode="External"/><Relationship Id="rId1" Type="http://schemas.openxmlformats.org/officeDocument/2006/relationships/externalLinkPath" Target="file:///\\09B0D078\Attachment%2040.%2008.05.2025%20(GFC2)rev1.xlsx" TargetMode="External"/><Relationship Id="rId4" Type="http://schemas.openxmlformats.org/officeDocument/2006/relationships/externalLinkPath" Target="../../COPY%20R3_!Submitted/_R3%20Revisions/Attachment%2040.%2008.05.2025%20(GFC2)rev1.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Users/Diana%20Downton/Box/Diana%20Downton/Diana%20Downton/EAH%20-%20Greenfield/Greenfield%20-%20Ph%202%20-%201-21-26%20bond%20app.xls" TargetMode="External"/><Relationship Id="rId2" Type="http://schemas.openxmlformats.org/officeDocument/2006/relationships/externalLinkPath" Target="file:///C:\Users\Diana%20Downton\Box\Diana%20Downton\Diana%20Downton\EAH%20-%20Greenfield\Greenfield%20-%20Ph%202%20-%201-21-26%20bond%20app.xls" TargetMode="External"/><Relationship Id="rId1" Type="http://schemas.openxmlformats.org/officeDocument/2006/relationships/externalLinkPath" Target="/Users/Diana%20Downton/Box/Diana%20Downton/Diana%20Downton/EAH%20-%20Greenfield/Greenfield%20-%20Ph%202%20-%201-21-26%20bond%20app.xls"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eahhousingportal.sharepoint.com/sites/1462_GREENFIELDCOMMONSII/Shared%20Documents/RED/ACTIVE%20PROJECTS/Finance/State%20Government/_2024%20TCAC-CDLAC%20(GFC2)/R2%2008.2024%20-%20NOT%20AWARDED/UPLOADED/Attachment%2040.%20Greenfield%20Commons%20II%20-%20E-Application2024.Rd2%20(1).xlsx" TargetMode="External"/><Relationship Id="rId2" Type="http://schemas.microsoft.com/office/2019/04/relationships/externalLinkLongPath" Target="/sites/1462_GREENFIELDCOMMONSII/Shared%20Documents/RED/ACTIVE%20PROJECTS/Finance/State%20Government/_2024%20TCAC-CDLAC%20(GFC2)/R2%2008.2024%20-%20NOT%20AWARDED/UPLOADED/Attachment%2040.%20Greenfield%20Commons%20II%20-%20E-Application2024.Rd2%20(1).xlsx?973D5E58" TargetMode="External"/><Relationship Id="rId1" Type="http://schemas.openxmlformats.org/officeDocument/2006/relationships/externalLinkPath" Target="file:///\\973D5E58\Attachment%2040.%20Greenfield%20Commons%20II%20-%20E-Application2024.Rd2%20(1).xlsx" TargetMode="External"/><Relationship Id="rId4" Type="http://schemas.openxmlformats.org/officeDocument/2006/relationships/externalLinkPath" Target="../../../_2024%20TCAC-CDLAC%20(GFC2)/R2%2008.2024%20-%20NOT%20AWARDED/UPLOADED/Attachment%2040.%20Greenfield%20Commons%20II%20-%20E-Application2024.Rd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155">
          <cell r="O155" t="str">
            <v>City Manager</v>
          </cell>
        </row>
        <row r="159">
          <cell r="W159"/>
        </row>
        <row r="234">
          <cell r="W234" t="str">
            <v>CA</v>
          </cell>
          <cell r="AC234">
            <v>94901</v>
          </cell>
        </row>
        <row r="236">
          <cell r="Z236">
            <v>0</v>
          </cell>
        </row>
        <row r="247">
          <cell r="Z247"/>
        </row>
        <row r="251">
          <cell r="AF251" t="str">
            <v>(select one)</v>
          </cell>
        </row>
        <row r="255">
          <cell r="Z255"/>
        </row>
        <row r="257">
          <cell r="AA257"/>
        </row>
        <row r="259">
          <cell r="AF259" t="str">
            <v>(select one)</v>
          </cell>
        </row>
        <row r="263">
          <cell r="Z263"/>
        </row>
        <row r="265">
          <cell r="AA265"/>
        </row>
        <row r="270">
          <cell r="D270" t="str">
            <v>currently exists</v>
          </cell>
          <cell r="X270"/>
        </row>
        <row r="278">
          <cell r="Y278"/>
        </row>
        <row r="280">
          <cell r="L280" t="str">
            <v>Senior Project Manager</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4%debt - A"/>
      <sheetName val="4%debt - B"/>
      <sheetName val="4%main spreadsheet"/>
      <sheetName val="CDLAC"/>
      <sheetName val="9%debt - A"/>
      <sheetName val="9%debt - B"/>
      <sheetName val="9%main spreadsheet"/>
      <sheetName val="Joint Costs"/>
      <sheetName val="SUMMARY"/>
      <sheetName val="Joint S&amp;U"/>
      <sheetName val="Sq Ft"/>
    </sheetNames>
    <sheetDataSet>
      <sheetData sheetId="0"/>
      <sheetData sheetId="1"/>
      <sheetData sheetId="2"/>
      <sheetData sheetId="3">
        <row r="4">
          <cell r="BW4">
            <v>12420000</v>
          </cell>
          <cell r="CB4">
            <v>6.1200000000000004E-2</v>
          </cell>
        </row>
        <row r="6">
          <cell r="BW6">
            <v>9832515</v>
          </cell>
        </row>
        <row r="7">
          <cell r="BW7">
            <v>467044.46249999997</v>
          </cell>
        </row>
        <row r="10">
          <cell r="BW10">
            <v>9181020</v>
          </cell>
        </row>
        <row r="14">
          <cell r="BW14">
            <v>15597912.453214139</v>
          </cell>
        </row>
        <row r="18">
          <cell r="BW18">
            <v>21332341.365621213</v>
          </cell>
          <cell r="CB18">
            <v>5.4500000000000007E-2</v>
          </cell>
        </row>
        <row r="19">
          <cell r="BW19">
            <v>42529416.415510535</v>
          </cell>
          <cell r="CB19">
            <v>5.9500000000000004E-2</v>
          </cell>
        </row>
        <row r="20">
          <cell r="BW20">
            <v>2799900</v>
          </cell>
        </row>
        <row r="21">
          <cell r="BW21">
            <v>100</v>
          </cell>
        </row>
        <row r="22">
          <cell r="BW22">
            <v>31993132.17777485</v>
          </cell>
          <cell r="BX22">
            <v>3199313.2177774608</v>
          </cell>
        </row>
        <row r="29">
          <cell r="BW29">
            <v>1805673</v>
          </cell>
        </row>
        <row r="30">
          <cell r="BW30">
            <v>499088</v>
          </cell>
        </row>
        <row r="31">
          <cell r="BW31">
            <v>41196</v>
          </cell>
        </row>
        <row r="32">
          <cell r="BW32">
            <v>187891.8</v>
          </cell>
        </row>
        <row r="34">
          <cell r="BW34">
            <v>6152485.0047123274</v>
          </cell>
        </row>
        <row r="35">
          <cell r="BW35">
            <v>38530790.220273979</v>
          </cell>
        </row>
        <row r="37">
          <cell r="BW37">
            <v>1757045.7402739725</v>
          </cell>
        </row>
        <row r="38">
          <cell r="BW38">
            <v>578778.32613698626</v>
          </cell>
        </row>
        <row r="39">
          <cell r="BW39">
            <v>2372043.9105753424</v>
          </cell>
        </row>
        <row r="40">
          <cell r="BW40">
            <v>261035.10619178083</v>
          </cell>
        </row>
        <row r="41">
          <cell r="O41">
            <v>6210</v>
          </cell>
        </row>
        <row r="42">
          <cell r="BW42">
            <v>1005373.6925621919</v>
          </cell>
        </row>
        <row r="44">
          <cell r="BW44">
            <v>130000</v>
          </cell>
        </row>
        <row r="45">
          <cell r="O45">
            <v>832539.92955194192</v>
          </cell>
          <cell r="BW45">
            <v>2000000</v>
          </cell>
        </row>
        <row r="46">
          <cell r="BW46">
            <v>4644032.0965260286</v>
          </cell>
        </row>
        <row r="47">
          <cell r="O47">
            <v>41296.562999999995</v>
          </cell>
          <cell r="BW47">
            <v>1272845</v>
          </cell>
        </row>
        <row r="48">
          <cell r="O48">
            <v>38560.284</v>
          </cell>
          <cell r="BW48">
            <v>1763654</v>
          </cell>
        </row>
        <row r="49">
          <cell r="BW49">
            <v>687500</v>
          </cell>
        </row>
        <row r="50">
          <cell r="BW50">
            <v>1462458.9069000001</v>
          </cell>
        </row>
        <row r="51">
          <cell r="BW51">
            <v>340872.15</v>
          </cell>
        </row>
        <row r="52">
          <cell r="BW52">
            <v>274135</v>
          </cell>
        </row>
        <row r="53">
          <cell r="BW53">
            <v>171862.03325000001</v>
          </cell>
        </row>
        <row r="54">
          <cell r="BW54">
            <v>60000</v>
          </cell>
        </row>
        <row r="55">
          <cell r="BW55">
            <v>1581698.6301369863</v>
          </cell>
        </row>
        <row r="56">
          <cell r="BW56">
            <v>180000</v>
          </cell>
        </row>
        <row r="57">
          <cell r="BW57">
            <v>600000</v>
          </cell>
        </row>
        <row r="58">
          <cell r="BW58">
            <v>100000</v>
          </cell>
        </row>
        <row r="59">
          <cell r="BW59">
            <v>270000</v>
          </cell>
        </row>
        <row r="60">
          <cell r="BW60">
            <v>478963.18335848808</v>
          </cell>
          <cell r="BY60">
            <v>45030.726640541616</v>
          </cell>
        </row>
        <row r="61">
          <cell r="BW61">
            <v>124200</v>
          </cell>
        </row>
        <row r="62">
          <cell r="BW62">
            <v>157000</v>
          </cell>
        </row>
        <row r="63">
          <cell r="BW63">
            <v>3385353.4743867968</v>
          </cell>
          <cell r="BY63">
            <v>3385353.4743867968</v>
          </cell>
        </row>
        <row r="64">
          <cell r="BW64">
            <v>2065408.5874328222</v>
          </cell>
        </row>
        <row r="65">
          <cell r="BW65">
            <v>467044.46249999997</v>
          </cell>
          <cell r="BX65">
            <v>342499.27249999996</v>
          </cell>
        </row>
        <row r="66">
          <cell r="BW66">
            <v>225018.41540568054</v>
          </cell>
          <cell r="BY66">
            <v>21155.577516773385</v>
          </cell>
        </row>
        <row r="67">
          <cell r="BW67">
            <v>393764.085793206</v>
          </cell>
          <cell r="BY67">
            <v>37020.555074574921</v>
          </cell>
        </row>
        <row r="68">
          <cell r="BW68">
            <v>7000</v>
          </cell>
        </row>
        <row r="69">
          <cell r="BW69">
            <v>111519.9168426292</v>
          </cell>
        </row>
        <row r="71">
          <cell r="BW71">
            <v>90000</v>
          </cell>
        </row>
        <row r="73">
          <cell r="BW73">
            <v>50000</v>
          </cell>
        </row>
        <row r="75">
          <cell r="BW75">
            <v>145000</v>
          </cell>
          <cell r="BY75">
            <v>13632.478632478633</v>
          </cell>
        </row>
        <row r="76">
          <cell r="BW76">
            <v>120000</v>
          </cell>
          <cell r="CJ76">
            <v>120000</v>
          </cell>
        </row>
        <row r="77">
          <cell r="BW77">
            <v>15000</v>
          </cell>
        </row>
        <row r="81">
          <cell r="BW81">
            <v>483264.63207978359</v>
          </cell>
          <cell r="DB81">
            <v>483264.63207978359</v>
          </cell>
        </row>
        <row r="82">
          <cell r="BW82">
            <v>127629</v>
          </cell>
          <cell r="DB82">
            <v>127629</v>
          </cell>
        </row>
        <row r="86">
          <cell r="BW86">
            <v>5000000</v>
          </cell>
          <cell r="DB86">
            <v>1200100</v>
          </cell>
          <cell r="DC86">
            <v>200000</v>
          </cell>
        </row>
        <row r="95">
          <cell r="BW95">
            <v>115000</v>
          </cell>
        </row>
      </sheetData>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row r="830">
          <cell r="B830"/>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person displayName="Michael Schaier" id="{B6F8CD16-25A9-4552-96F3-EECFCF59096C}" userId="S::Michael.Schaier@eahhousing.org::13466083-8977-49a4-864f-0800d43165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840" dT="2026-01-16T19:09:34.43" personId="{B6F8CD16-25A9-4552-96F3-EECFCF59096C}" id="{9977AB5F-18FF-468C-9D4A-E76C1DEFB12B}">
    <text>Rounding Error - $21/unit is the 2BR UA</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01" t="s">
        <v>0</v>
      </c>
      <c r="B1" s="1301"/>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row>
    <row r="2" spans="1:38" ht="13.5" thickBot="1">
      <c r="A2" s="1728"/>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row>
    <row r="3" spans="1:38" ht="13.5" thickTop="1"/>
    <row r="4" spans="1:38" s="5" customFormat="1">
      <c r="B4" s="10" t="s">
        <v>1</v>
      </c>
      <c r="C4" s="10" t="s">
        <v>2</v>
      </c>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404" t="s">
        <v>5</v>
      </c>
      <c r="E7" s="1404"/>
      <c r="F7" s="1404"/>
      <c r="G7" s="1404"/>
      <c r="H7" s="1404"/>
      <c r="I7" s="1404"/>
      <c r="J7" s="1404"/>
      <c r="K7" s="1404"/>
      <c r="L7" s="1404"/>
      <c r="M7" s="1404"/>
      <c r="N7" s="1404"/>
      <c r="O7" s="1404"/>
      <c r="P7" s="1404"/>
      <c r="Q7" s="1404"/>
      <c r="R7" s="1404"/>
      <c r="S7" s="1404"/>
      <c r="T7" s="1404"/>
      <c r="U7" s="1404"/>
      <c r="V7" s="1404"/>
      <c r="W7" s="1404"/>
      <c r="X7" s="1404"/>
      <c r="Y7" s="1404"/>
      <c r="Z7" s="1404"/>
      <c r="AA7" s="1404"/>
      <c r="AB7" s="1404"/>
      <c r="AC7" s="1404"/>
      <c r="AD7" s="1404"/>
      <c r="AE7" s="1404"/>
      <c r="AF7" s="1404"/>
      <c r="AG7" s="1404"/>
      <c r="AH7" s="1404"/>
      <c r="AI7" s="1404"/>
      <c r="AJ7" s="1404"/>
      <c r="AK7" s="1404"/>
      <c r="AL7" s="357"/>
    </row>
    <row r="8" spans="1:38">
      <c r="A8" s="136"/>
      <c r="B8" s="136"/>
      <c r="C8" s="137"/>
      <c r="D8" s="1404"/>
      <c r="E8" s="1404"/>
      <c r="F8" s="1404"/>
      <c r="G8" s="1404"/>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4"/>
      <c r="AF8" s="1404"/>
      <c r="AG8" s="1404"/>
      <c r="AH8" s="1404"/>
      <c r="AI8" s="1404"/>
      <c r="AJ8" s="1404"/>
      <c r="AK8" s="1404"/>
      <c r="AL8" s="357"/>
    </row>
    <row r="9" spans="1:38">
      <c r="A9" s="136"/>
      <c r="B9" s="136"/>
      <c r="C9" s="137"/>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4"/>
      <c r="AB9" s="1404"/>
      <c r="AC9" s="1404"/>
      <c r="AD9" s="1404"/>
      <c r="AE9" s="1404"/>
      <c r="AF9" s="1404"/>
      <c r="AG9" s="1404"/>
      <c r="AH9" s="1404"/>
      <c r="AI9" s="1404"/>
      <c r="AJ9" s="1404"/>
      <c r="AK9" s="140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404" t="s">
        <v>6</v>
      </c>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357"/>
    </row>
    <row r="12" spans="1:38">
      <c r="A12" s="136"/>
      <c r="B12" s="136"/>
      <c r="C12" s="137"/>
      <c r="D12" s="1404"/>
      <c r="E12" s="1404"/>
      <c r="F12" s="1404"/>
      <c r="G12" s="1404"/>
      <c r="H12" s="1404"/>
      <c r="I12" s="1404"/>
      <c r="J12" s="1404"/>
      <c r="K12" s="1404"/>
      <c r="L12" s="1404"/>
      <c r="M12" s="1404"/>
      <c r="N12" s="1404"/>
      <c r="O12" s="1404"/>
      <c r="P12" s="1404"/>
      <c r="Q12" s="1404"/>
      <c r="R12" s="1404"/>
      <c r="S12" s="1404"/>
      <c r="T12" s="1404"/>
      <c r="U12" s="1404"/>
      <c r="V12" s="1404"/>
      <c r="W12" s="1404"/>
      <c r="X12" s="1404"/>
      <c r="Y12" s="1404"/>
      <c r="Z12" s="1404"/>
      <c r="AA12" s="1404"/>
      <c r="AB12" s="1404"/>
      <c r="AC12" s="1404"/>
      <c r="AD12" s="1404"/>
      <c r="AE12" s="1404"/>
      <c r="AF12" s="1404"/>
      <c r="AG12" s="1404"/>
      <c r="AH12" s="1404"/>
      <c r="AI12" s="1404"/>
      <c r="AJ12" s="1404"/>
      <c r="AK12" s="1404"/>
      <c r="AL12" s="357"/>
    </row>
    <row r="13" spans="1:38">
      <c r="A13" s="136"/>
      <c r="B13" s="136"/>
      <c r="C13" s="137"/>
      <c r="D13" s="1404"/>
      <c r="E13" s="1404"/>
      <c r="F13" s="1404"/>
      <c r="G13" s="1404"/>
      <c r="H13" s="1404"/>
      <c r="I13" s="1404"/>
      <c r="J13" s="1404"/>
      <c r="K13" s="1404"/>
      <c r="L13" s="1404"/>
      <c r="M13" s="1404"/>
      <c r="N13" s="1404"/>
      <c r="O13" s="1404"/>
      <c r="P13" s="1404"/>
      <c r="Q13" s="1404"/>
      <c r="R13" s="1404"/>
      <c r="S13" s="1404"/>
      <c r="T13" s="1404"/>
      <c r="U13" s="1404"/>
      <c r="V13" s="1404"/>
      <c r="W13" s="1404"/>
      <c r="X13" s="1404"/>
      <c r="Y13" s="1404"/>
      <c r="Z13" s="1404"/>
      <c r="AA13" s="1404"/>
      <c r="AB13" s="1404"/>
      <c r="AC13" s="1404"/>
      <c r="AD13" s="1404"/>
      <c r="AE13" s="1404"/>
      <c r="AF13" s="1404"/>
      <c r="AG13" s="1404"/>
      <c r="AH13" s="1404"/>
      <c r="AI13" s="1404"/>
      <c r="AJ13" s="1404"/>
      <c r="AK13" s="140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404" t="s">
        <v>7</v>
      </c>
      <c r="E15" s="1404"/>
      <c r="F15" s="1404"/>
      <c r="G15" s="1404"/>
      <c r="H15" s="1404"/>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c r="AK15" s="1404"/>
      <c r="AL15" s="357"/>
    </row>
    <row r="16" spans="1:38" ht="13.15" customHeight="1">
      <c r="A16" s="136"/>
      <c r="B16" s="136"/>
      <c r="C16" s="137"/>
      <c r="D16" s="1404"/>
      <c r="E16" s="1404"/>
      <c r="F16" s="1404"/>
      <c r="G16" s="1404"/>
      <c r="H16" s="1404"/>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c r="AE16" s="1404"/>
      <c r="AF16" s="1404"/>
      <c r="AG16" s="1404"/>
      <c r="AH16" s="1404"/>
      <c r="AI16" s="1404"/>
      <c r="AJ16" s="1404"/>
      <c r="AK16" s="1404"/>
      <c r="AL16" s="357"/>
    </row>
    <row r="17" spans="1:38">
      <c r="A17" s="136"/>
      <c r="B17" s="136"/>
      <c r="C17" s="137"/>
      <c r="D17" s="1404"/>
      <c r="E17" s="1404"/>
      <c r="F17" s="1404"/>
      <c r="G17" s="1404"/>
      <c r="H17" s="1404"/>
      <c r="I17" s="1404"/>
      <c r="J17" s="1404"/>
      <c r="K17" s="1404"/>
      <c r="L17" s="1404"/>
      <c r="M17" s="1404"/>
      <c r="N17" s="1404"/>
      <c r="O17" s="1404"/>
      <c r="P17" s="1404"/>
      <c r="Q17" s="1404"/>
      <c r="R17" s="1404"/>
      <c r="S17" s="1404"/>
      <c r="T17" s="1404"/>
      <c r="U17" s="1404"/>
      <c r="V17" s="1404"/>
      <c r="W17" s="1404"/>
      <c r="X17" s="1404"/>
      <c r="Y17" s="1404"/>
      <c r="Z17" s="1404"/>
      <c r="AA17" s="1404"/>
      <c r="AB17" s="1404"/>
      <c r="AC17" s="1404"/>
      <c r="AD17" s="1404"/>
      <c r="AE17" s="1404"/>
      <c r="AF17" s="1404"/>
      <c r="AG17" s="1404"/>
      <c r="AH17" s="1404"/>
      <c r="AI17" s="1404"/>
      <c r="AJ17" s="1404"/>
      <c r="AK17" s="1404"/>
      <c r="AL17" s="357"/>
    </row>
    <row r="18" spans="1:38">
      <c r="A18" s="136"/>
      <c r="B18" s="136"/>
      <c r="C18" s="137"/>
      <c r="D18" s="419" t="s">
        <v>8</v>
      </c>
      <c r="E18" s="344"/>
      <c r="G18" s="344"/>
      <c r="H18" s="344"/>
      <c r="I18" s="344"/>
      <c r="J18" s="1730" t="s">
        <v>9</v>
      </c>
      <c r="K18" s="1730"/>
      <c r="L18" s="1730"/>
      <c r="M18" s="1730"/>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404" t="s">
        <v>10</v>
      </c>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36"/>
    </row>
    <row r="21" spans="1:38">
      <c r="A21" s="136"/>
      <c r="B21" s="136"/>
      <c r="C21" s="137"/>
      <c r="D21" s="1404"/>
      <c r="E21" s="1404"/>
      <c r="F21" s="1404"/>
      <c r="G21" s="1404"/>
      <c r="H21" s="1404"/>
      <c r="I21" s="1404"/>
      <c r="J21" s="1404"/>
      <c r="K21" s="1404"/>
      <c r="L21" s="1404"/>
      <c r="M21" s="1404"/>
      <c r="N21" s="1404"/>
      <c r="O21" s="1404"/>
      <c r="P21" s="1404"/>
      <c r="Q21" s="1404"/>
      <c r="R21" s="1404"/>
      <c r="S21" s="1404"/>
      <c r="T21" s="1404"/>
      <c r="U21" s="1404"/>
      <c r="V21" s="1404"/>
      <c r="W21" s="1404"/>
      <c r="X21" s="1404"/>
      <c r="Y21" s="1404"/>
      <c r="Z21" s="1404"/>
      <c r="AA21" s="1404"/>
      <c r="AB21" s="1404"/>
      <c r="AC21" s="1404"/>
      <c r="AD21" s="1404"/>
      <c r="AE21" s="1404"/>
      <c r="AF21" s="1404"/>
      <c r="AG21" s="1404"/>
      <c r="AH21" s="1404"/>
      <c r="AI21" s="1404"/>
      <c r="AJ21" s="1404"/>
      <c r="AK21" s="1404"/>
      <c r="AL21" s="136"/>
    </row>
    <row r="22" spans="1:38">
      <c r="A22" s="136"/>
      <c r="B22" s="136"/>
      <c r="C22" s="137"/>
      <c r="D22" s="1404"/>
      <c r="E22" s="1404"/>
      <c r="F22" s="1404"/>
      <c r="G22" s="1404"/>
      <c r="H22" s="1404"/>
      <c r="I22" s="1404"/>
      <c r="J22" s="1404"/>
      <c r="K22" s="1404"/>
      <c r="L22" s="1404"/>
      <c r="M22" s="1404"/>
      <c r="N22" s="1404"/>
      <c r="O22" s="1404"/>
      <c r="P22" s="1404"/>
      <c r="Q22" s="1404"/>
      <c r="R22" s="1404"/>
      <c r="S22" s="1404"/>
      <c r="T22" s="1404"/>
      <c r="U22" s="1404"/>
      <c r="V22" s="1404"/>
      <c r="W22" s="1404"/>
      <c r="X22" s="1404"/>
      <c r="Y22" s="1404"/>
      <c r="Z22" s="1404"/>
      <c r="AA22" s="1404"/>
      <c r="AB22" s="1404"/>
      <c r="AC22" s="1404"/>
      <c r="AD22" s="1404"/>
      <c r="AE22" s="1404"/>
      <c r="AF22" s="1404"/>
      <c r="AG22" s="1404"/>
      <c r="AH22" s="1404"/>
      <c r="AI22" s="1404"/>
      <c r="AJ22" s="1404"/>
      <c r="AK22" s="1404"/>
      <c r="AL22" s="136"/>
    </row>
    <row r="23" spans="1:38" ht="13.15" customHeight="1">
      <c r="A23" s="136"/>
      <c r="B23" s="136"/>
      <c r="C23" s="137"/>
      <c r="D23" s="1404"/>
      <c r="E23" s="1404"/>
      <c r="F23" s="1404"/>
      <c r="G23" s="1404"/>
      <c r="H23" s="1404"/>
      <c r="I23" s="1404"/>
      <c r="J23" s="1404"/>
      <c r="K23" s="1404"/>
      <c r="L23" s="1404"/>
      <c r="M23" s="1404"/>
      <c r="N23" s="1404"/>
      <c r="O23" s="1404"/>
      <c r="P23" s="1404"/>
      <c r="Q23" s="1404"/>
      <c r="R23" s="1404"/>
      <c r="S23" s="1404"/>
      <c r="T23" s="1404"/>
      <c r="U23" s="1404"/>
      <c r="V23" s="1404"/>
      <c r="W23" s="1404"/>
      <c r="X23" s="1404"/>
      <c r="Y23" s="1404"/>
      <c r="Z23" s="1404"/>
      <c r="AA23" s="1404"/>
      <c r="AB23" s="1404"/>
      <c r="AC23" s="1404"/>
      <c r="AD23" s="1404"/>
      <c r="AE23" s="1404"/>
      <c r="AF23" s="1404"/>
      <c r="AG23" s="1404"/>
      <c r="AH23" s="1404"/>
      <c r="AI23" s="1404"/>
      <c r="AJ23" s="1404"/>
      <c r="AK23" s="1404"/>
      <c r="AL23" s="136"/>
    </row>
    <row r="24" spans="1:38">
      <c r="A24" s="136"/>
      <c r="B24" s="136"/>
      <c r="C24" s="137"/>
      <c r="D24" s="1404"/>
      <c r="E24" s="1404"/>
      <c r="F24" s="1404"/>
      <c r="G24" s="1404"/>
      <c r="H24" s="1404"/>
      <c r="I24" s="1404"/>
      <c r="J24" s="1404"/>
      <c r="K24" s="1404"/>
      <c r="L24" s="1404"/>
      <c r="M24" s="1404"/>
      <c r="N24" s="1404"/>
      <c r="O24" s="1404"/>
      <c r="P24" s="1404"/>
      <c r="Q24" s="1404"/>
      <c r="R24" s="1404"/>
      <c r="S24" s="1404"/>
      <c r="T24" s="1404"/>
      <c r="U24" s="1404"/>
      <c r="V24" s="1404"/>
      <c r="W24" s="1404"/>
      <c r="X24" s="1404"/>
      <c r="Y24" s="1404"/>
      <c r="Z24" s="1404"/>
      <c r="AA24" s="1404"/>
      <c r="AB24" s="1404"/>
      <c r="AC24" s="1404"/>
      <c r="AD24" s="1404"/>
      <c r="AE24" s="1404"/>
      <c r="AF24" s="1404"/>
      <c r="AG24" s="1404"/>
      <c r="AH24" s="1404"/>
      <c r="AI24" s="1404"/>
      <c r="AJ24" s="1404"/>
      <c r="AK24" s="1404"/>
      <c r="AL24" s="136"/>
    </row>
    <row r="25" spans="1:38">
      <c r="A25" s="136"/>
      <c r="B25" s="136"/>
      <c r="C25" s="137"/>
      <c r="D25" s="1404"/>
      <c r="E25" s="1404"/>
      <c r="F25" s="1404"/>
      <c r="G25" s="1404"/>
      <c r="H25" s="1404"/>
      <c r="I25" s="1404"/>
      <c r="J25" s="1404"/>
      <c r="K25" s="1404"/>
      <c r="L25" s="1404"/>
      <c r="M25" s="1404"/>
      <c r="N25" s="1404"/>
      <c r="O25" s="1404"/>
      <c r="P25" s="1404"/>
      <c r="Q25" s="1404"/>
      <c r="R25" s="1404"/>
      <c r="S25" s="1404"/>
      <c r="T25" s="1404"/>
      <c r="U25" s="1404"/>
      <c r="V25" s="1404"/>
      <c r="W25" s="1404"/>
      <c r="X25" s="1404"/>
      <c r="Y25" s="1404"/>
      <c r="Z25" s="1404"/>
      <c r="AA25" s="1404"/>
      <c r="AB25" s="1404"/>
      <c r="AC25" s="1404"/>
      <c r="AD25" s="1404"/>
      <c r="AE25" s="1404"/>
      <c r="AF25" s="1404"/>
      <c r="AG25" s="1404"/>
      <c r="AH25" s="1404"/>
      <c r="AI25" s="1404"/>
      <c r="AJ25" s="1404"/>
      <c r="AK25" s="1404"/>
      <c r="AL25" s="136"/>
    </row>
    <row r="26" spans="1:38">
      <c r="A26" s="136"/>
      <c r="B26" s="136"/>
      <c r="C26" s="137"/>
      <c r="D26" s="1404"/>
      <c r="E26" s="1404"/>
      <c r="F26" s="1404"/>
      <c r="G26" s="1404"/>
      <c r="H26" s="1404"/>
      <c r="I26" s="1404"/>
      <c r="J26" s="1404"/>
      <c r="K26" s="1404"/>
      <c r="L26" s="1404"/>
      <c r="M26" s="1404"/>
      <c r="N26" s="1404"/>
      <c r="O26" s="1404"/>
      <c r="P26" s="1404"/>
      <c r="Q26" s="1404"/>
      <c r="R26" s="1404"/>
      <c r="S26" s="1404"/>
      <c r="T26" s="1404"/>
      <c r="U26" s="1404"/>
      <c r="V26" s="1404"/>
      <c r="W26" s="1404"/>
      <c r="X26" s="1404"/>
      <c r="Y26" s="1404"/>
      <c r="Z26" s="1404"/>
      <c r="AA26" s="1404"/>
      <c r="AB26" s="1404"/>
      <c r="AC26" s="1404"/>
      <c r="AD26" s="1404"/>
      <c r="AE26" s="1404"/>
      <c r="AF26" s="1404"/>
      <c r="AG26" s="1404"/>
      <c r="AH26" s="1404"/>
      <c r="AI26" s="1404"/>
      <c r="AJ26" s="1404"/>
      <c r="AK26" s="1404"/>
      <c r="AL26" s="136"/>
    </row>
    <row r="27" spans="1:38">
      <c r="A27" s="136"/>
      <c r="B27" s="136"/>
      <c r="C27" s="137"/>
      <c r="D27" s="1404"/>
      <c r="E27" s="1404"/>
      <c r="F27" s="1404"/>
      <c r="G27" s="1404"/>
      <c r="H27" s="1404"/>
      <c r="I27" s="1404"/>
      <c r="J27" s="1404"/>
      <c r="K27" s="1404"/>
      <c r="L27" s="1404"/>
      <c r="M27" s="1404"/>
      <c r="N27" s="1404"/>
      <c r="O27" s="1404"/>
      <c r="P27" s="1404"/>
      <c r="Q27" s="1404"/>
      <c r="R27" s="1404"/>
      <c r="S27" s="1404"/>
      <c r="T27" s="1404"/>
      <c r="U27" s="1404"/>
      <c r="V27" s="1404"/>
      <c r="W27" s="1404"/>
      <c r="X27" s="1404"/>
      <c r="Y27" s="1404"/>
      <c r="Z27" s="1404"/>
      <c r="AA27" s="1404"/>
      <c r="AB27" s="1404"/>
      <c r="AC27" s="1404"/>
      <c r="AD27" s="1404"/>
      <c r="AE27" s="1404"/>
      <c r="AF27" s="1404"/>
      <c r="AG27" s="1404"/>
      <c r="AH27" s="1404"/>
      <c r="AI27" s="1404"/>
      <c r="AJ27" s="1404"/>
      <c r="AK27" s="1404"/>
      <c r="AL27" s="136"/>
    </row>
    <row r="28" spans="1:38">
      <c r="A28" s="136"/>
      <c r="B28" s="136"/>
      <c r="C28" s="137"/>
      <c r="D28" s="1404"/>
      <c r="E28" s="1404"/>
      <c r="F28" s="1404"/>
      <c r="G28" s="1404"/>
      <c r="H28" s="1404"/>
      <c r="I28" s="1404"/>
      <c r="J28" s="1404"/>
      <c r="K28" s="1404"/>
      <c r="L28" s="1404"/>
      <c r="M28" s="1404"/>
      <c r="N28" s="1404"/>
      <c r="O28" s="1404"/>
      <c r="P28" s="1404"/>
      <c r="Q28" s="1404"/>
      <c r="R28" s="1404"/>
      <c r="S28" s="1404"/>
      <c r="T28" s="1404"/>
      <c r="U28" s="1404"/>
      <c r="V28" s="1404"/>
      <c r="W28" s="1404"/>
      <c r="X28" s="1404"/>
      <c r="Y28" s="1404"/>
      <c r="Z28" s="1404"/>
      <c r="AA28" s="1404"/>
      <c r="AB28" s="1404"/>
      <c r="AC28" s="1404"/>
      <c r="AD28" s="1404"/>
      <c r="AE28" s="1404"/>
      <c r="AF28" s="1404"/>
      <c r="AG28" s="1404"/>
      <c r="AH28" s="1404"/>
      <c r="AI28" s="1404"/>
      <c r="AJ28" s="1404"/>
      <c r="AK28" s="140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404" t="s">
        <v>11</v>
      </c>
      <c r="E30" s="1404"/>
      <c r="F30" s="1404"/>
      <c r="G30" s="1404"/>
      <c r="H30" s="1404"/>
      <c r="I30" s="1404"/>
      <c r="J30" s="1404"/>
      <c r="K30" s="1404"/>
      <c r="L30" s="1404"/>
      <c r="M30" s="1404"/>
      <c r="N30" s="1404"/>
      <c r="O30" s="1404"/>
      <c r="P30" s="1404"/>
      <c r="Q30" s="1404"/>
      <c r="R30" s="1404"/>
      <c r="S30" s="1404"/>
      <c r="T30" s="1404"/>
      <c r="U30" s="1404"/>
      <c r="V30" s="1404"/>
      <c r="W30" s="1404"/>
      <c r="X30" s="1404"/>
      <c r="Y30" s="1404"/>
      <c r="Z30" s="1404"/>
      <c r="AA30" s="1404"/>
      <c r="AB30" s="1404"/>
      <c r="AC30" s="1404"/>
      <c r="AD30" s="1404"/>
      <c r="AE30" s="1404"/>
      <c r="AF30" s="1404"/>
      <c r="AG30" s="1404"/>
      <c r="AH30" s="1404"/>
      <c r="AI30" s="1404"/>
      <c r="AJ30" s="1404"/>
      <c r="AK30" s="1404"/>
      <c r="AL30" s="136"/>
    </row>
    <row r="31" spans="1:38">
      <c r="A31" s="136"/>
      <c r="B31" s="136"/>
      <c r="C31" s="137"/>
      <c r="D31" s="357"/>
      <c r="E31" s="1735" t="s">
        <v>12</v>
      </c>
      <c r="F31" s="1736"/>
      <c r="G31" s="1736"/>
      <c r="H31" s="1736"/>
      <c r="I31" s="1736"/>
      <c r="J31" s="1736"/>
      <c r="K31" s="1736"/>
      <c r="L31" s="1736"/>
      <c r="M31" s="1736"/>
      <c r="N31" s="1736"/>
      <c r="O31" s="1736"/>
      <c r="P31" s="1736"/>
      <c r="Q31" s="1736"/>
      <c r="R31" s="1736"/>
      <c r="S31" s="1736"/>
      <c r="T31" s="1736"/>
      <c r="U31" s="1736"/>
      <c r="V31" s="1736"/>
      <c r="W31" s="1736"/>
      <c r="X31" s="1736"/>
      <c r="Y31" s="1736"/>
      <c r="Z31" s="1736"/>
      <c r="AA31" s="1736"/>
      <c r="AB31" s="1736"/>
      <c r="AC31" s="1736"/>
      <c r="AD31" s="1736"/>
      <c r="AE31" s="1736"/>
      <c r="AF31" s="1736"/>
      <c r="AG31" s="1736"/>
      <c r="AH31" s="1736"/>
      <c r="AI31" s="1736"/>
      <c r="AJ31" s="1736"/>
      <c r="AK31" s="1736"/>
      <c r="AL31" s="136"/>
    </row>
    <row r="32" spans="1:38">
      <c r="A32" s="3"/>
      <c r="C32" s="2"/>
    </row>
    <row r="33" spans="1:38">
      <c r="A33" s="3"/>
      <c r="D33" s="1729" t="s">
        <v>13</v>
      </c>
      <c r="E33" s="1729"/>
      <c r="F33" s="1729"/>
      <c r="G33" s="1729"/>
      <c r="H33" s="1729"/>
      <c r="I33" s="1729"/>
      <c r="J33" s="1729"/>
      <c r="K33" s="1729"/>
      <c r="L33" s="1729"/>
      <c r="M33" s="1729"/>
      <c r="N33" s="1729"/>
      <c r="O33" s="1729"/>
      <c r="P33" s="1729"/>
      <c r="Q33" s="1729"/>
      <c r="R33" s="1729"/>
      <c r="S33" s="1729"/>
      <c r="T33" s="1729"/>
      <c r="U33" s="1729"/>
      <c r="V33" s="1729"/>
      <c r="W33" s="1729"/>
      <c r="X33" s="1729"/>
      <c r="Y33" s="1729"/>
      <c r="Z33" s="1729"/>
      <c r="AA33" s="1729"/>
      <c r="AB33" s="1729"/>
      <c r="AC33" s="1729"/>
      <c r="AD33" s="1729"/>
      <c r="AE33" s="1729"/>
      <c r="AF33" s="1729"/>
      <c r="AG33" s="1729"/>
      <c r="AH33" s="1729"/>
      <c r="AI33" s="1729"/>
      <c r="AJ33" s="1729"/>
      <c r="AK33" s="1729"/>
    </row>
    <row r="34" spans="1:38">
      <c r="A34" s="3"/>
      <c r="D34" s="1729"/>
      <c r="E34" s="1729"/>
      <c r="F34" s="1729"/>
      <c r="G34" s="1729"/>
      <c r="H34" s="1729"/>
      <c r="I34" s="1729"/>
      <c r="J34" s="1729"/>
      <c r="K34" s="1729"/>
      <c r="L34" s="1729"/>
      <c r="M34" s="1729"/>
      <c r="N34" s="1729"/>
      <c r="O34" s="1729"/>
      <c r="P34" s="1729"/>
      <c r="Q34" s="1729"/>
      <c r="R34" s="1729"/>
      <c r="S34" s="1729"/>
      <c r="T34" s="1729"/>
      <c r="U34" s="1729"/>
      <c r="V34" s="1729"/>
      <c r="W34" s="1729"/>
      <c r="X34" s="1729"/>
      <c r="Y34" s="1729"/>
      <c r="Z34" s="1729"/>
      <c r="AA34" s="1729"/>
      <c r="AB34" s="1729"/>
      <c r="AC34" s="1729"/>
      <c r="AD34" s="1729"/>
      <c r="AE34" s="1729"/>
      <c r="AF34" s="1729"/>
      <c r="AG34" s="1729"/>
      <c r="AH34" s="1729"/>
      <c r="AI34" s="1729"/>
      <c r="AJ34" s="1729"/>
      <c r="AK34" s="1729"/>
    </row>
    <row r="35" spans="1:38">
      <c r="A35" s="3"/>
      <c r="D35" s="86"/>
      <c r="E35" s="1734" t="s">
        <v>14</v>
      </c>
      <c r="F35" s="1734"/>
      <c r="G35" s="1734"/>
      <c r="H35" s="1734"/>
      <c r="I35" s="1734"/>
      <c r="J35" s="1734"/>
      <c r="K35" s="1734"/>
      <c r="L35" s="1734"/>
      <c r="M35" s="1734"/>
      <c r="N35" s="1734"/>
      <c r="O35" s="1734"/>
      <c r="P35" s="1734"/>
      <c r="Q35" s="1734"/>
      <c r="R35" s="1734"/>
      <c r="S35" s="1734"/>
      <c r="T35" s="1734"/>
      <c r="U35" s="1734"/>
      <c r="V35" s="1734"/>
      <c r="W35" s="1734"/>
      <c r="X35" s="1734"/>
      <c r="Y35" s="1734"/>
      <c r="Z35" s="1734"/>
      <c r="AA35" s="1734"/>
      <c r="AB35" s="1734"/>
      <c r="AC35" s="1734"/>
      <c r="AD35" s="1734"/>
      <c r="AE35" s="1734"/>
      <c r="AF35" s="1734"/>
      <c r="AG35" s="1734"/>
      <c r="AH35" s="1734"/>
      <c r="AI35" s="1734"/>
      <c r="AJ35" s="1734"/>
      <c r="AK35" s="1734"/>
    </row>
    <row r="36" spans="1:38">
      <c r="A36" s="3"/>
      <c r="D36" s="86"/>
      <c r="E36" s="1734" t="s">
        <v>15</v>
      </c>
      <c r="F36" s="1734"/>
      <c r="G36" s="1734"/>
      <c r="H36" s="1734"/>
      <c r="I36" s="1734"/>
      <c r="J36" s="1734"/>
      <c r="K36" s="1734"/>
      <c r="L36" s="1734"/>
      <c r="M36" s="1734"/>
      <c r="N36" s="1734"/>
      <c r="O36" s="1734"/>
      <c r="P36" s="1734"/>
      <c r="Q36" s="1734"/>
      <c r="R36" s="1734"/>
      <c r="S36" s="1734"/>
      <c r="T36" s="1734"/>
      <c r="U36" s="1734"/>
      <c r="V36" s="1734"/>
      <c r="W36" s="1734"/>
      <c r="X36" s="1734"/>
      <c r="Y36" s="1734"/>
      <c r="Z36" s="1734"/>
      <c r="AA36" s="1734"/>
      <c r="AB36" s="1734"/>
      <c r="AC36" s="1734"/>
      <c r="AD36" s="1734"/>
      <c r="AE36" s="1734"/>
      <c r="AF36" s="1734"/>
      <c r="AG36" s="1734"/>
      <c r="AH36" s="1734"/>
      <c r="AI36" s="1734"/>
      <c r="AJ36" s="1734"/>
      <c r="AK36" s="1734"/>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04" customFormat="1" ht="13.15" customHeight="1">
      <c r="A40" s="3"/>
      <c r="B40"/>
      <c r="C40" s="2"/>
      <c r="D40" s="3"/>
      <c r="E40" s="3" t="s">
        <v>20</v>
      </c>
      <c r="F40" s="1404" t="s">
        <v>21</v>
      </c>
    </row>
    <row r="41" spans="1:38" s="1404"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479" t="s">
        <v>25</v>
      </c>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c r="AF43" s="1479"/>
      <c r="AG43" s="1479"/>
      <c r="AH43" s="1479"/>
      <c r="AI43" s="1479"/>
      <c r="AJ43" s="1479"/>
      <c r="AK43" s="1479"/>
      <c r="AL43" s="1479"/>
    </row>
    <row r="44" spans="1:38" s="84" customFormat="1">
      <c r="A44" s="3"/>
      <c r="B44"/>
      <c r="C44" s="2"/>
      <c r="D44" s="3"/>
      <c r="E44" s="3"/>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c r="AH44" s="1479"/>
      <c r="AI44" s="1479"/>
      <c r="AJ44" s="1479"/>
      <c r="AK44" s="1479"/>
      <c r="AL44" s="1479"/>
    </row>
    <row r="45" spans="1:38" s="84" customFormat="1" ht="13.15" customHeight="1">
      <c r="A45" s="3"/>
      <c r="B45"/>
      <c r="C45" s="2"/>
      <c r="D45" s="3"/>
      <c r="E45" s="3"/>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404" t="s">
        <v>30</v>
      </c>
      <c r="G48" s="1404"/>
      <c r="H48" s="1404"/>
      <c r="I48" s="1404"/>
      <c r="J48" s="1404"/>
      <c r="K48" s="1404"/>
      <c r="L48" s="1404"/>
      <c r="M48" s="1404"/>
      <c r="N48" s="1404"/>
      <c r="O48" s="1404"/>
      <c r="P48" s="1404"/>
      <c r="Q48" s="1404"/>
      <c r="R48" s="1404"/>
      <c r="S48" s="1404"/>
      <c r="T48" s="1404"/>
      <c r="U48" s="1404"/>
      <c r="V48" s="1404"/>
      <c r="W48" s="1404"/>
      <c r="X48" s="1404"/>
      <c r="Y48" s="1404"/>
      <c r="Z48" s="1404"/>
      <c r="AA48" s="1404"/>
      <c r="AB48" s="1404"/>
      <c r="AC48" s="1404"/>
      <c r="AD48" s="1404"/>
      <c r="AE48" s="1404"/>
      <c r="AF48" s="1404"/>
      <c r="AG48" s="1404"/>
      <c r="AH48" s="1404"/>
      <c r="AI48" s="1404"/>
      <c r="AJ48" s="1404"/>
      <c r="AK48" s="1404"/>
    </row>
    <row r="49" spans="1:38">
      <c r="A49" s="3"/>
      <c r="C49" s="2"/>
      <c r="D49" s="3"/>
      <c r="E49" s="3"/>
      <c r="F49" s="1404"/>
      <c r="G49" s="1404"/>
      <c r="H49" s="1404"/>
      <c r="I49" s="1404"/>
      <c r="J49" s="1404"/>
      <c r="K49" s="1404"/>
      <c r="L49" s="1404"/>
      <c r="M49" s="1404"/>
      <c r="N49" s="1404"/>
      <c r="O49" s="1404"/>
      <c r="P49" s="1404"/>
      <c r="Q49" s="1404"/>
      <c r="R49" s="1404"/>
      <c r="S49" s="1404"/>
      <c r="T49" s="1404"/>
      <c r="U49" s="1404"/>
      <c r="V49" s="1404"/>
      <c r="W49" s="1404"/>
      <c r="X49" s="1404"/>
      <c r="Y49" s="1404"/>
      <c r="Z49" s="1404"/>
      <c r="AA49" s="1404"/>
      <c r="AB49" s="1404"/>
      <c r="AC49" s="1404"/>
      <c r="AD49" s="1404"/>
      <c r="AE49" s="1404"/>
      <c r="AF49" s="1404"/>
      <c r="AG49" s="1404"/>
      <c r="AH49" s="1404"/>
      <c r="AI49" s="1404"/>
      <c r="AJ49" s="1404"/>
      <c r="AK49" s="1404"/>
    </row>
    <row r="50" spans="1:38">
      <c r="A50" s="3"/>
      <c r="C50" s="2"/>
      <c r="D50" s="3"/>
      <c r="F50" s="1404"/>
      <c r="G50" s="1404"/>
      <c r="H50" s="1404"/>
      <c r="I50" s="1404"/>
      <c r="J50" s="1404"/>
      <c r="K50" s="1404"/>
      <c r="L50" s="1404"/>
      <c r="M50" s="1404"/>
      <c r="N50" s="1404"/>
      <c r="O50" s="1404"/>
      <c r="P50" s="1404"/>
      <c r="Q50" s="1404"/>
      <c r="R50" s="1404"/>
      <c r="S50" s="1404"/>
      <c r="T50" s="1404"/>
      <c r="U50" s="1404"/>
      <c r="V50" s="1404"/>
      <c r="W50" s="1404"/>
      <c r="X50" s="1404"/>
      <c r="Y50" s="1404"/>
      <c r="Z50" s="1404"/>
      <c r="AA50" s="1404"/>
      <c r="AB50" s="1404"/>
      <c r="AC50" s="1404"/>
      <c r="AD50" s="1404"/>
      <c r="AE50" s="1404"/>
      <c r="AF50" s="1404"/>
      <c r="AG50" s="1404"/>
      <c r="AH50" s="1404"/>
      <c r="AI50" s="1404"/>
      <c r="AJ50" s="1404"/>
      <c r="AK50" s="140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7"/>
      <c r="K52" s="1157"/>
      <c r="L52" s="1157"/>
      <c r="M52" s="1157"/>
      <c r="N52" s="1157"/>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731" t="s">
        <v>34</v>
      </c>
      <c r="H54" s="1731"/>
      <c r="I54" s="1731"/>
      <c r="J54" s="1731"/>
      <c r="K54" s="1731"/>
      <c r="L54" s="1731"/>
      <c r="M54" s="1731"/>
      <c r="N54" s="1731"/>
      <c r="O54" s="1731"/>
      <c r="P54" s="1731"/>
      <c r="Q54" s="1731"/>
      <c r="R54" s="1731"/>
      <c r="S54" s="1731"/>
      <c r="T54" s="1731"/>
      <c r="U54" s="1731"/>
      <c r="V54" s="1731"/>
      <c r="W54" s="1731"/>
      <c r="X54" s="1731"/>
      <c r="Y54" s="1731"/>
      <c r="Z54" s="1731"/>
      <c r="AA54" s="1731"/>
      <c r="AB54" s="1731"/>
      <c r="AC54" s="1731"/>
      <c r="AD54" s="1731"/>
      <c r="AE54" s="1731"/>
      <c r="AF54" s="1731"/>
      <c r="AG54" s="1731"/>
      <c r="AH54" s="1731"/>
      <c r="AI54" s="1731"/>
      <c r="AJ54" s="1731"/>
      <c r="AK54" s="1731"/>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31" t="s">
        <v>36</v>
      </c>
      <c r="H56" s="1731"/>
      <c r="I56" s="1731"/>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731" t="s">
        <v>37</v>
      </c>
      <c r="H57" s="1731"/>
      <c r="I57" s="1731"/>
      <c r="J57" s="1731"/>
      <c r="K57" s="1731"/>
      <c r="L57" s="1731"/>
      <c r="M57" s="1731"/>
      <c r="N57" s="1731"/>
      <c r="O57" s="1731"/>
      <c r="P57" s="1731"/>
      <c r="Q57" s="1731"/>
      <c r="R57" s="1731"/>
      <c r="S57" s="1731"/>
      <c r="T57" s="1731"/>
      <c r="U57" s="1731"/>
      <c r="V57" s="1731"/>
      <c r="W57" s="1731"/>
      <c r="X57" s="1731"/>
      <c r="Y57" s="1731"/>
      <c r="Z57" s="1731"/>
      <c r="AA57" s="1731"/>
      <c r="AB57" s="1731"/>
      <c r="AC57" s="1731"/>
      <c r="AD57" s="1731"/>
      <c r="AE57" s="1731"/>
      <c r="AF57" s="1731"/>
      <c r="AG57" s="1731"/>
      <c r="AH57" s="1731"/>
      <c r="AI57" s="1731"/>
      <c r="AJ57" s="1731"/>
      <c r="AK57" s="1731"/>
      <c r="AL57" s="1731"/>
    </row>
    <row r="58" spans="1:38">
      <c r="A58" s="136"/>
      <c r="B58" s="136"/>
      <c r="C58" s="137"/>
      <c r="D58" s="137"/>
      <c r="E58" s="136"/>
      <c r="F58" s="138"/>
      <c r="G58" s="1731"/>
      <c r="H58" s="1731"/>
      <c r="I58" s="1731"/>
      <c r="J58" s="1731"/>
      <c r="K58" s="1731"/>
      <c r="L58" s="1731"/>
      <c r="M58" s="1731"/>
      <c r="N58" s="1731"/>
      <c r="O58" s="1731"/>
      <c r="P58" s="1731"/>
      <c r="Q58" s="1731"/>
      <c r="R58" s="1731"/>
      <c r="S58" s="1731"/>
      <c r="T58" s="1731"/>
      <c r="U58" s="1731"/>
      <c r="V58" s="1731"/>
      <c r="W58" s="1731"/>
      <c r="X58" s="1731"/>
      <c r="Y58" s="1731"/>
      <c r="Z58" s="1731"/>
      <c r="AA58" s="1731"/>
      <c r="AB58" s="1731"/>
      <c r="AC58" s="1731"/>
      <c r="AD58" s="1731"/>
      <c r="AE58" s="1731"/>
      <c r="AF58" s="1731"/>
      <c r="AG58" s="1731"/>
      <c r="AH58" s="1731"/>
      <c r="AI58" s="1731"/>
      <c r="AJ58" s="1731"/>
      <c r="AK58" s="1731"/>
      <c r="AL58" s="1731"/>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404" t="s">
        <v>42</v>
      </c>
      <c r="H64" s="1404"/>
      <c r="I64" s="1404"/>
      <c r="J64" s="1404"/>
      <c r="K64" s="1404"/>
      <c r="L64" s="1404"/>
      <c r="M64" s="1404"/>
      <c r="N64" s="1404"/>
      <c r="O64" s="1404"/>
      <c r="P64" s="1404"/>
      <c r="Q64" s="1404"/>
      <c r="R64" s="1404"/>
      <c r="S64" s="1404"/>
      <c r="T64" s="1404"/>
      <c r="U64" s="1404"/>
      <c r="V64" s="1404"/>
      <c r="W64" s="1404"/>
      <c r="X64" s="1404"/>
      <c r="Y64" s="1404"/>
      <c r="Z64" s="1404"/>
      <c r="AA64" s="1404"/>
      <c r="AB64" s="1404"/>
      <c r="AC64" s="1404"/>
      <c r="AD64" s="1404"/>
      <c r="AE64" s="1404"/>
      <c r="AF64" s="1404"/>
      <c r="AG64" s="1404"/>
      <c r="AH64" s="1404"/>
      <c r="AI64" s="1404"/>
      <c r="AJ64" s="1404"/>
      <c r="AK64" s="1404"/>
    </row>
    <row r="65" spans="1:37">
      <c r="A65" s="3"/>
      <c r="C65" s="2"/>
      <c r="D65" s="3"/>
      <c r="E65" s="3"/>
      <c r="G65" s="1404"/>
      <c r="H65" s="1404"/>
      <c r="I65" s="1404"/>
      <c r="J65" s="1404"/>
      <c r="K65" s="1404"/>
      <c r="L65" s="1404"/>
      <c r="M65" s="1404"/>
      <c r="N65" s="1404"/>
      <c r="O65" s="1404"/>
      <c r="P65" s="1404"/>
      <c r="Q65" s="1404"/>
      <c r="R65" s="1404"/>
      <c r="S65" s="1404"/>
      <c r="T65" s="1404"/>
      <c r="U65" s="1404"/>
      <c r="V65" s="1404"/>
      <c r="W65" s="1404"/>
      <c r="X65" s="1404"/>
      <c r="Y65" s="1404"/>
      <c r="Z65" s="1404"/>
      <c r="AA65" s="1404"/>
      <c r="AB65" s="1404"/>
      <c r="AC65" s="1404"/>
      <c r="AD65" s="1404"/>
      <c r="AE65" s="1404"/>
      <c r="AF65" s="1404"/>
      <c r="AG65" s="1404"/>
      <c r="AH65" s="1404"/>
      <c r="AI65" s="1404"/>
      <c r="AJ65" s="1404"/>
      <c r="AK65" s="1404"/>
    </row>
    <row r="66" spans="1:37">
      <c r="A66" s="3"/>
      <c r="C66" s="2"/>
      <c r="D66" s="3"/>
      <c r="E66" s="3"/>
      <c r="G66" s="1404"/>
      <c r="H66" s="1404"/>
      <c r="I66" s="1404"/>
      <c r="J66" s="1404"/>
      <c r="K66" s="1404"/>
      <c r="L66" s="1404"/>
      <c r="M66" s="1404"/>
      <c r="N66" s="1404"/>
      <c r="O66" s="1404"/>
      <c r="P66" s="1404"/>
      <c r="Q66" s="1404"/>
      <c r="R66" s="1404"/>
      <c r="S66" s="1404"/>
      <c r="T66" s="1404"/>
      <c r="U66" s="1404"/>
      <c r="V66" s="1404"/>
      <c r="W66" s="1404"/>
      <c r="X66" s="1404"/>
      <c r="Y66" s="1404"/>
      <c r="Z66" s="1404"/>
      <c r="AA66" s="1404"/>
      <c r="AB66" s="1404"/>
      <c r="AC66" s="1404"/>
      <c r="AD66" s="1404"/>
      <c r="AE66" s="1404"/>
      <c r="AF66" s="1404"/>
      <c r="AG66" s="1404"/>
      <c r="AH66" s="1404"/>
      <c r="AI66" s="1404"/>
      <c r="AJ66" s="1404"/>
      <c r="AK66" s="1404"/>
    </row>
    <row r="67" spans="1:37" ht="13.15" customHeight="1">
      <c r="A67" s="3"/>
      <c r="C67" s="2"/>
      <c r="D67" s="3"/>
      <c r="E67" s="3"/>
      <c r="F67" t="s">
        <v>27</v>
      </c>
      <c r="G67" s="1404" t="s">
        <v>43</v>
      </c>
      <c r="H67" s="1404"/>
      <c r="I67" s="1404"/>
      <c r="J67" s="1404"/>
      <c r="K67" s="1404"/>
      <c r="L67" s="1404"/>
      <c r="M67" s="1404"/>
      <c r="N67" s="1404"/>
      <c r="O67" s="1404"/>
      <c r="P67" s="1404"/>
      <c r="Q67" s="1404"/>
      <c r="R67" s="1404"/>
      <c r="S67" s="1404"/>
      <c r="T67" s="1404"/>
      <c r="U67" s="1404"/>
      <c r="V67" s="1404"/>
      <c r="W67" s="1404"/>
      <c r="X67" s="1404"/>
      <c r="Y67" s="1404"/>
      <c r="Z67" s="1404"/>
      <c r="AA67" s="1404"/>
      <c r="AB67" s="1404"/>
      <c r="AC67" s="1404"/>
      <c r="AD67" s="1404"/>
      <c r="AE67" s="1404"/>
      <c r="AF67" s="1404"/>
      <c r="AG67" s="1404"/>
      <c r="AH67" s="1404"/>
      <c r="AI67" s="1404"/>
      <c r="AJ67" s="1404"/>
      <c r="AK67" s="1404"/>
    </row>
    <row r="68" spans="1:37">
      <c r="A68" s="3"/>
      <c r="C68" s="2"/>
      <c r="D68" s="3"/>
      <c r="E68" s="3"/>
      <c r="F68" s="23"/>
      <c r="G68" s="1404"/>
      <c r="H68" s="1404"/>
      <c r="I68" s="1404"/>
      <c r="J68" s="1404"/>
      <c r="K68" s="1404"/>
      <c r="L68" s="1404"/>
      <c r="M68" s="1404"/>
      <c r="N68" s="1404"/>
      <c r="O68" s="1404"/>
      <c r="P68" s="1404"/>
      <c r="Q68" s="1404"/>
      <c r="R68" s="1404"/>
      <c r="S68" s="1404"/>
      <c r="T68" s="1404"/>
      <c r="U68" s="1404"/>
      <c r="V68" s="1404"/>
      <c r="W68" s="1404"/>
      <c r="X68" s="1404"/>
      <c r="Y68" s="1404"/>
      <c r="Z68" s="1404"/>
      <c r="AA68" s="1404"/>
      <c r="AB68" s="1404"/>
      <c r="AC68" s="1404"/>
      <c r="AD68" s="1404"/>
      <c r="AE68" s="1404"/>
      <c r="AF68" s="1404"/>
      <c r="AG68" s="1404"/>
      <c r="AH68" s="1404"/>
      <c r="AI68" s="1404"/>
      <c r="AJ68" s="1404"/>
      <c r="AK68" s="140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404" t="s">
        <v>45</v>
      </c>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c r="AE70" s="1404"/>
      <c r="AF70" s="1404"/>
      <c r="AG70" s="1404"/>
      <c r="AH70" s="1404"/>
      <c r="AI70" s="1404"/>
      <c r="AJ70" s="1404"/>
      <c r="AK70" s="1404"/>
    </row>
    <row r="71" spans="1:37">
      <c r="A71" s="3"/>
      <c r="C71" s="2"/>
      <c r="D71" s="3"/>
      <c r="E71" s="3"/>
      <c r="F71" s="7"/>
      <c r="G71" s="1404"/>
      <c r="H71" s="1404"/>
      <c r="I71" s="1404"/>
      <c r="J71" s="1404"/>
      <c r="K71" s="1404"/>
      <c r="L71" s="1404"/>
      <c r="M71" s="1404"/>
      <c r="N71" s="1404"/>
      <c r="O71" s="1404"/>
      <c r="P71" s="1404"/>
      <c r="Q71" s="1404"/>
      <c r="R71" s="1404"/>
      <c r="S71" s="1404"/>
      <c r="T71" s="1404"/>
      <c r="U71" s="1404"/>
      <c r="V71" s="1404"/>
      <c r="W71" s="1404"/>
      <c r="X71" s="1404"/>
      <c r="Y71" s="1404"/>
      <c r="Z71" s="1404"/>
      <c r="AA71" s="1404"/>
      <c r="AB71" s="1404"/>
      <c r="AC71" s="1404"/>
      <c r="AD71" s="1404"/>
      <c r="AE71" s="1404"/>
      <c r="AF71" s="1404"/>
      <c r="AG71" s="1404"/>
      <c r="AH71" s="1404"/>
      <c r="AI71" s="1404"/>
      <c r="AJ71" s="1404"/>
      <c r="AK71" s="1404"/>
    </row>
    <row r="72" spans="1:37">
      <c r="A72" s="3"/>
      <c r="C72" s="2"/>
      <c r="D72" s="3"/>
      <c r="E72" s="3"/>
      <c r="F72" s="7" t="s">
        <v>27</v>
      </c>
      <c r="G72" s="1404" t="s">
        <v>46</v>
      </c>
      <c r="H72" s="1404"/>
      <c r="I72" s="1404"/>
      <c r="J72" s="1404"/>
      <c r="K72" s="1404"/>
      <c r="L72" s="1404"/>
      <c r="M72" s="1404"/>
      <c r="N72" s="1404"/>
      <c r="O72" s="1404"/>
      <c r="P72" s="1404"/>
      <c r="Q72" s="1404"/>
      <c r="R72" s="1404"/>
      <c r="S72" s="1404"/>
      <c r="T72" s="1404"/>
      <c r="U72" s="1404"/>
      <c r="V72" s="1404"/>
      <c r="W72" s="1404"/>
      <c r="X72" s="1404"/>
      <c r="Y72" s="1404"/>
      <c r="Z72" s="1404"/>
      <c r="AA72" s="1404"/>
      <c r="AB72" s="1404"/>
      <c r="AC72" s="1404"/>
      <c r="AD72" s="1404"/>
      <c r="AE72" s="1404"/>
      <c r="AF72" s="1404"/>
      <c r="AG72" s="1404"/>
      <c r="AH72" s="1404"/>
      <c r="AI72" s="1404"/>
      <c r="AJ72" s="1404"/>
      <c r="AK72" s="1404"/>
    </row>
    <row r="73" spans="1:37">
      <c r="A73" s="3"/>
      <c r="C73" s="2"/>
      <c r="D73" s="3"/>
      <c r="E73" s="3"/>
      <c r="F73" s="7"/>
      <c r="G73" s="1404"/>
      <c r="H73" s="1404"/>
      <c r="I73" s="1404"/>
      <c r="J73" s="1404"/>
      <c r="K73" s="1404"/>
      <c r="L73" s="1404"/>
      <c r="M73" s="1404"/>
      <c r="N73" s="1404"/>
      <c r="O73" s="1404"/>
      <c r="P73" s="1404"/>
      <c r="Q73" s="1404"/>
      <c r="R73" s="1404"/>
      <c r="S73" s="1404"/>
      <c r="T73" s="1404"/>
      <c r="U73" s="1404"/>
      <c r="V73" s="1404"/>
      <c r="W73" s="1404"/>
      <c r="X73" s="1404"/>
      <c r="Y73" s="1404"/>
      <c r="Z73" s="1404"/>
      <c r="AA73" s="1404"/>
      <c r="AB73" s="1404"/>
      <c r="AC73" s="1404"/>
      <c r="AD73" s="1404"/>
      <c r="AE73" s="1404"/>
      <c r="AF73" s="1404"/>
      <c r="AG73" s="1404"/>
      <c r="AH73" s="1404"/>
      <c r="AI73" s="1404"/>
      <c r="AJ73" s="1404"/>
      <c r="AK73" s="140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404" t="s">
        <v>56</v>
      </c>
      <c r="H80" s="1404"/>
      <c r="I80" s="1404"/>
      <c r="J80" s="1404"/>
      <c r="K80" s="1404"/>
      <c r="L80" s="1404"/>
      <c r="M80" s="1404"/>
      <c r="N80" s="1404"/>
      <c r="O80" s="1404"/>
      <c r="P80" s="1404"/>
      <c r="Q80" s="1404"/>
      <c r="R80" s="1404"/>
      <c r="S80" s="1404"/>
      <c r="T80" s="1404"/>
      <c r="U80" s="1404"/>
      <c r="V80" s="1404"/>
      <c r="W80" s="1404"/>
      <c r="X80" s="1404"/>
      <c r="Y80" s="1404"/>
      <c r="Z80" s="1404"/>
      <c r="AA80" s="1404"/>
      <c r="AB80" s="1404"/>
      <c r="AC80" s="1404"/>
      <c r="AD80" s="1404"/>
      <c r="AE80" s="1404"/>
      <c r="AF80" s="1404"/>
      <c r="AG80" s="1404"/>
      <c r="AH80" s="1404"/>
      <c r="AI80" s="1404"/>
      <c r="AJ80" s="1404"/>
      <c r="AK80" s="1404"/>
    </row>
    <row r="81" spans="1:37">
      <c r="A81" s="3"/>
      <c r="C81" s="2"/>
      <c r="D81" s="3"/>
      <c r="E81" s="3"/>
      <c r="F81" s="3"/>
      <c r="G81" s="1404"/>
      <c r="H81" s="1404"/>
      <c r="I81" s="1404"/>
      <c r="J81" s="1404"/>
      <c r="K81" s="1404"/>
      <c r="L81" s="1404"/>
      <c r="M81" s="1404"/>
      <c r="N81" s="1404"/>
      <c r="O81" s="1404"/>
      <c r="P81" s="1404"/>
      <c r="Q81" s="1404"/>
      <c r="R81" s="1404"/>
      <c r="S81" s="1404"/>
      <c r="T81" s="1404"/>
      <c r="U81" s="1404"/>
      <c r="V81" s="1404"/>
      <c r="W81" s="1404"/>
      <c r="X81" s="1404"/>
      <c r="Y81" s="1404"/>
      <c r="Z81" s="1404"/>
      <c r="AA81" s="1404"/>
      <c r="AB81" s="1404"/>
      <c r="AC81" s="1404"/>
      <c r="AD81" s="1404"/>
      <c r="AE81" s="1404"/>
      <c r="AF81" s="1404"/>
      <c r="AG81" s="1404"/>
      <c r="AH81" s="1404"/>
      <c r="AI81" s="1404"/>
      <c r="AJ81" s="1404"/>
      <c r="AK81" s="1404"/>
    </row>
    <row r="82" spans="1:37">
      <c r="A82" s="3"/>
      <c r="C82" s="2"/>
      <c r="D82" s="3"/>
      <c r="E82" s="3"/>
      <c r="F82" s="3"/>
      <c r="G82" s="1404"/>
      <c r="H82" s="1404"/>
      <c r="I82" s="1404"/>
      <c r="J82" s="1404"/>
      <c r="K82" s="1404"/>
      <c r="L82" s="1404"/>
      <c r="M82" s="1404"/>
      <c r="N82" s="1404"/>
      <c r="O82" s="1404"/>
      <c r="P82" s="1404"/>
      <c r="Q82" s="1404"/>
      <c r="R82" s="1404"/>
      <c r="S82" s="1404"/>
      <c r="T82" s="1404"/>
      <c r="U82" s="1404"/>
      <c r="V82" s="1404"/>
      <c r="W82" s="1404"/>
      <c r="X82" s="1404"/>
      <c r="Y82" s="1404"/>
      <c r="Z82" s="1404"/>
      <c r="AA82" s="1404"/>
      <c r="AB82" s="1404"/>
      <c r="AC82" s="1404"/>
      <c r="AD82" s="1404"/>
      <c r="AE82" s="1404"/>
      <c r="AF82" s="1404"/>
      <c r="AG82" s="1404"/>
      <c r="AH82" s="1404"/>
      <c r="AI82" s="1404"/>
      <c r="AJ82" s="1404"/>
      <c r="AK82" s="140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404" t="s">
        <v>59</v>
      </c>
      <c r="H84" s="1404"/>
      <c r="I84" s="1404"/>
      <c r="J84" s="1404"/>
      <c r="K84" s="1404"/>
      <c r="L84" s="1404"/>
      <c r="M84" s="1404"/>
      <c r="N84" s="1404"/>
      <c r="O84" s="1404"/>
      <c r="P84" s="1404"/>
      <c r="Q84" s="1404"/>
      <c r="R84" s="1404"/>
      <c r="S84" s="1404"/>
      <c r="T84" s="1404"/>
      <c r="U84" s="1404"/>
      <c r="V84" s="1404"/>
      <c r="W84" s="1404"/>
      <c r="X84" s="1404"/>
      <c r="Y84" s="1404"/>
      <c r="Z84" s="1404"/>
      <c r="AA84" s="1404"/>
      <c r="AB84" s="1404"/>
      <c r="AC84" s="1404"/>
      <c r="AD84" s="1404"/>
      <c r="AE84" s="1404"/>
      <c r="AF84" s="1404"/>
      <c r="AG84" s="1404"/>
      <c r="AH84" s="1404"/>
      <c r="AI84" s="1404"/>
      <c r="AJ84" s="1404"/>
      <c r="AK84" s="1404"/>
    </row>
    <row r="85" spans="1:37">
      <c r="A85" s="3"/>
      <c r="C85" s="2"/>
      <c r="D85" s="3"/>
      <c r="E85" s="3"/>
      <c r="F85" s="3"/>
      <c r="G85" s="1404"/>
      <c r="H85" s="1404"/>
      <c r="I85" s="1404"/>
      <c r="J85" s="1404"/>
      <c r="K85" s="1404"/>
      <c r="L85" s="1404"/>
      <c r="M85" s="1404"/>
      <c r="N85" s="1404"/>
      <c r="O85" s="1404"/>
      <c r="P85" s="1404"/>
      <c r="Q85" s="1404"/>
      <c r="R85" s="1404"/>
      <c r="S85" s="1404"/>
      <c r="T85" s="1404"/>
      <c r="U85" s="1404"/>
      <c r="V85" s="1404"/>
      <c r="W85" s="1404"/>
      <c r="X85" s="1404"/>
      <c r="Y85" s="1404"/>
      <c r="Z85" s="1404"/>
      <c r="AA85" s="1404"/>
      <c r="AB85" s="1404"/>
      <c r="AC85" s="1404"/>
      <c r="AD85" s="1404"/>
      <c r="AE85" s="1404"/>
      <c r="AF85" s="1404"/>
      <c r="AG85" s="1404"/>
      <c r="AH85" s="1404"/>
      <c r="AI85" s="1404"/>
      <c r="AJ85" s="1404"/>
      <c r="AK85" s="1404"/>
    </row>
    <row r="86" spans="1:37">
      <c r="A86" s="3"/>
      <c r="C86" s="2"/>
      <c r="D86" s="3"/>
      <c r="E86" s="3"/>
      <c r="G86" s="1404"/>
      <c r="H86" s="1404"/>
      <c r="I86" s="1404"/>
      <c r="J86" s="1404"/>
      <c r="K86" s="1404"/>
      <c r="L86" s="1404"/>
      <c r="M86" s="1404"/>
      <c r="N86" s="1404"/>
      <c r="O86" s="1404"/>
      <c r="P86" s="1404"/>
      <c r="Q86" s="1404"/>
      <c r="R86" s="1404"/>
      <c r="S86" s="1404"/>
      <c r="T86" s="1404"/>
      <c r="U86" s="1404"/>
      <c r="V86" s="1404"/>
      <c r="W86" s="1404"/>
      <c r="X86" s="1404"/>
      <c r="Y86" s="1404"/>
      <c r="Z86" s="1404"/>
      <c r="AA86" s="1404"/>
      <c r="AB86" s="1404"/>
      <c r="AC86" s="1404"/>
      <c r="AD86" s="1404"/>
      <c r="AE86" s="1404"/>
      <c r="AF86" s="1404"/>
      <c r="AG86" s="1404"/>
      <c r="AH86" s="1404"/>
      <c r="AI86" s="1404"/>
      <c r="AJ86" s="1404"/>
      <c r="AK86" s="140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37" t="s">
        <v>62</v>
      </c>
      <c r="H88" s="1737"/>
      <c r="I88" s="1737"/>
      <c r="J88" s="1737"/>
      <c r="K88" s="1737"/>
      <c r="L88" s="1737"/>
      <c r="M88" s="1737"/>
      <c r="N88" s="1737"/>
      <c r="O88" s="1737"/>
      <c r="P88" s="1737"/>
      <c r="Q88" s="1737"/>
      <c r="R88" s="1737"/>
      <c r="S88" s="1737"/>
      <c r="T88" s="1737"/>
      <c r="U88" s="1737"/>
      <c r="V88" s="1737"/>
      <c r="W88" s="1737"/>
      <c r="X88" s="1737"/>
      <c r="Y88" s="1737"/>
      <c r="Z88" s="1737"/>
      <c r="AA88" s="1737"/>
      <c r="AB88" s="1737"/>
      <c r="AC88" s="1737"/>
      <c r="AD88" s="1737"/>
      <c r="AE88" s="1737"/>
      <c r="AF88" s="1737"/>
      <c r="AG88" s="1737"/>
      <c r="AH88" s="1737"/>
      <c r="AI88" s="1737"/>
      <c r="AJ88" s="1737"/>
      <c r="AK88" s="1737"/>
    </row>
    <row r="89" spans="1:37">
      <c r="A89" s="3"/>
      <c r="C89" s="2"/>
      <c r="D89" s="3"/>
      <c r="E89" s="3"/>
      <c r="G89" s="1737"/>
      <c r="H89" s="1737"/>
      <c r="I89" s="1737"/>
      <c r="J89" s="1737"/>
      <c r="K89" s="1737"/>
      <c r="L89" s="1737"/>
      <c r="M89" s="1737"/>
      <c r="N89" s="1737"/>
      <c r="O89" s="1737"/>
      <c r="P89" s="1737"/>
      <c r="Q89" s="1737"/>
      <c r="R89" s="1737"/>
      <c r="S89" s="1737"/>
      <c r="T89" s="1737"/>
      <c r="U89" s="1737"/>
      <c r="V89" s="1737"/>
      <c r="W89" s="1737"/>
      <c r="X89" s="1737"/>
      <c r="Y89" s="1737"/>
      <c r="Z89" s="1737"/>
      <c r="AA89" s="1737"/>
      <c r="AB89" s="1737"/>
      <c r="AC89" s="1737"/>
      <c r="AD89" s="1737"/>
      <c r="AE89" s="1737"/>
      <c r="AF89" s="1737"/>
      <c r="AG89" s="1737"/>
      <c r="AH89" s="1737"/>
      <c r="AI89" s="1737"/>
      <c r="AJ89" s="1737"/>
      <c r="AK89" s="1737"/>
    </row>
    <row r="90" spans="1:37">
      <c r="A90" s="3"/>
      <c r="C90" s="2"/>
      <c r="D90" s="3"/>
      <c r="E90" s="3"/>
      <c r="G90" s="1737"/>
      <c r="H90" s="1737"/>
      <c r="I90" s="1737"/>
      <c r="J90" s="1737"/>
      <c r="K90" s="1737"/>
      <c r="L90" s="1737"/>
      <c r="M90" s="1737"/>
      <c r="N90" s="1737"/>
      <c r="O90" s="1737"/>
      <c r="P90" s="1737"/>
      <c r="Q90" s="1737"/>
      <c r="R90" s="1737"/>
      <c r="S90" s="1737"/>
      <c r="T90" s="1737"/>
      <c r="U90" s="1737"/>
      <c r="V90" s="1737"/>
      <c r="W90" s="1737"/>
      <c r="X90" s="1737"/>
      <c r="Y90" s="1737"/>
      <c r="Z90" s="1737"/>
      <c r="AA90" s="1737"/>
      <c r="AB90" s="1737"/>
      <c r="AC90" s="1737"/>
      <c r="AD90" s="1737"/>
      <c r="AE90" s="1737"/>
      <c r="AF90" s="1737"/>
      <c r="AG90" s="1737"/>
      <c r="AH90" s="1737"/>
      <c r="AI90" s="1737"/>
      <c r="AJ90" s="1737"/>
      <c r="AK90" s="1737"/>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404" t="s">
        <v>65</v>
      </c>
      <c r="H92" s="1404"/>
      <c r="I92" s="1404"/>
      <c r="J92" s="1404"/>
      <c r="K92" s="1404"/>
      <c r="L92" s="1404"/>
      <c r="M92" s="1404"/>
      <c r="N92" s="1404"/>
      <c r="O92" s="1404"/>
      <c r="P92" s="1404"/>
      <c r="Q92" s="1404"/>
      <c r="R92" s="1404"/>
      <c r="S92" s="1404"/>
      <c r="T92" s="1404"/>
      <c r="U92" s="1404"/>
      <c r="V92" s="1404"/>
      <c r="W92" s="1404"/>
      <c r="X92" s="1404"/>
      <c r="Y92" s="1404"/>
      <c r="Z92" s="1404"/>
      <c r="AA92" s="1404"/>
      <c r="AB92" s="1404"/>
      <c r="AC92" s="1404"/>
      <c r="AD92" s="1404"/>
      <c r="AE92" s="1404"/>
      <c r="AF92" s="1404"/>
      <c r="AG92" s="1404"/>
      <c r="AH92" s="1404"/>
      <c r="AI92" s="1404"/>
      <c r="AJ92" s="1404"/>
      <c r="AK92" s="1404"/>
    </row>
    <row r="93" spans="1:37">
      <c r="A93" s="3"/>
      <c r="C93" s="2"/>
      <c r="D93" s="3"/>
      <c r="E93" s="3"/>
      <c r="G93" s="1404"/>
      <c r="H93" s="1404"/>
      <c r="I93" s="1404"/>
      <c r="J93" s="1404"/>
      <c r="K93" s="1404"/>
      <c r="L93" s="1404"/>
      <c r="M93" s="1404"/>
      <c r="N93" s="1404"/>
      <c r="O93" s="1404"/>
      <c r="P93" s="1404"/>
      <c r="Q93" s="1404"/>
      <c r="R93" s="1404"/>
      <c r="S93" s="1404"/>
      <c r="T93" s="1404"/>
      <c r="U93" s="1404"/>
      <c r="V93" s="1404"/>
      <c r="W93" s="1404"/>
      <c r="X93" s="1404"/>
      <c r="Y93" s="1404"/>
      <c r="Z93" s="1404"/>
      <c r="AA93" s="1404"/>
      <c r="AB93" s="1404"/>
      <c r="AC93" s="1404"/>
      <c r="AD93" s="1404"/>
      <c r="AE93" s="1404"/>
      <c r="AF93" s="1404"/>
      <c r="AG93" s="1404"/>
      <c r="AH93" s="1404"/>
      <c r="AI93" s="1404"/>
      <c r="AJ93" s="1404"/>
      <c r="AK93" s="140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404" t="s">
        <v>68</v>
      </c>
      <c r="H95" s="1404"/>
      <c r="I95" s="1404"/>
      <c r="J95" s="1404"/>
      <c r="K95" s="1404"/>
      <c r="L95" s="1404"/>
      <c r="M95" s="1404"/>
      <c r="N95" s="1404"/>
      <c r="O95" s="1404"/>
      <c r="P95" s="1404"/>
      <c r="Q95" s="1404"/>
      <c r="R95" s="1404"/>
      <c r="S95" s="1404"/>
      <c r="T95" s="1404"/>
      <c r="U95" s="1404"/>
      <c r="V95" s="1404"/>
      <c r="W95" s="1404"/>
      <c r="X95" s="1404"/>
      <c r="Y95" s="1404"/>
      <c r="Z95" s="1404"/>
      <c r="AA95" s="1404"/>
      <c r="AB95" s="1404"/>
      <c r="AC95" s="1404"/>
      <c r="AD95" s="1404"/>
      <c r="AE95" s="1404"/>
      <c r="AF95" s="1404"/>
      <c r="AG95" s="1404"/>
      <c r="AH95" s="1404"/>
      <c r="AI95" s="1404"/>
      <c r="AJ95" s="1404"/>
      <c r="AK95" s="1404"/>
    </row>
    <row r="96" spans="1:37">
      <c r="A96" s="3"/>
      <c r="C96" s="2"/>
      <c r="D96" s="3"/>
      <c r="E96" s="3"/>
      <c r="G96" s="1404"/>
      <c r="H96" s="1404"/>
      <c r="I96" s="1404"/>
      <c r="J96" s="1404"/>
      <c r="K96" s="1404"/>
      <c r="L96" s="1404"/>
      <c r="M96" s="1404"/>
      <c r="N96" s="1404"/>
      <c r="O96" s="1404"/>
      <c r="P96" s="1404"/>
      <c r="Q96" s="1404"/>
      <c r="R96" s="1404"/>
      <c r="S96" s="1404"/>
      <c r="T96" s="1404"/>
      <c r="U96" s="1404"/>
      <c r="V96" s="1404"/>
      <c r="W96" s="1404"/>
      <c r="X96" s="1404"/>
      <c r="Y96" s="1404"/>
      <c r="Z96" s="1404"/>
      <c r="AA96" s="1404"/>
      <c r="AB96" s="1404"/>
      <c r="AC96" s="1404"/>
      <c r="AD96" s="1404"/>
      <c r="AE96" s="1404"/>
      <c r="AF96" s="1404"/>
      <c r="AG96" s="1404"/>
      <c r="AH96" s="1404"/>
      <c r="AI96" s="1404"/>
      <c r="AJ96" s="1404"/>
      <c r="AK96" s="1404"/>
    </row>
    <row r="97" spans="1:38">
      <c r="A97" s="3"/>
      <c r="C97" s="2"/>
      <c r="D97" s="3"/>
      <c r="E97" s="3"/>
      <c r="G97" s="1404"/>
      <c r="H97" s="1404"/>
      <c r="I97" s="1404"/>
      <c r="J97" s="1404"/>
      <c r="K97" s="1404"/>
      <c r="L97" s="1404"/>
      <c r="M97" s="1404"/>
      <c r="N97" s="1404"/>
      <c r="O97" s="1404"/>
      <c r="P97" s="1404"/>
      <c r="Q97" s="1404"/>
      <c r="R97" s="1404"/>
      <c r="S97" s="1404"/>
      <c r="T97" s="1404"/>
      <c r="U97" s="1404"/>
      <c r="V97" s="1404"/>
      <c r="W97" s="1404"/>
      <c r="X97" s="1404"/>
      <c r="Y97" s="1404"/>
      <c r="Z97" s="1404"/>
      <c r="AA97" s="1404"/>
      <c r="AB97" s="1404"/>
      <c r="AC97" s="1404"/>
      <c r="AD97" s="1404"/>
      <c r="AE97" s="1404"/>
      <c r="AF97" s="1404"/>
      <c r="AG97" s="1404"/>
      <c r="AH97" s="1404"/>
      <c r="AI97" s="1404"/>
      <c r="AJ97" s="1404"/>
      <c r="AK97" s="1404"/>
    </row>
    <row r="98" spans="1:38">
      <c r="A98" s="3"/>
      <c r="D98" s="74"/>
      <c r="E98" s="1738" t="s">
        <v>69</v>
      </c>
      <c r="F98" s="1738"/>
      <c r="G98" s="1738"/>
      <c r="H98" s="1738"/>
      <c r="I98" s="1738"/>
      <c r="J98" s="1738"/>
      <c r="K98" s="1738"/>
      <c r="L98" s="1738"/>
      <c r="M98" s="1738"/>
      <c r="N98" s="1738"/>
      <c r="O98" s="1738"/>
      <c r="P98" s="1738"/>
      <c r="Q98" s="1738"/>
      <c r="R98" s="1738"/>
      <c r="S98" s="1738"/>
      <c r="T98" s="1738"/>
      <c r="U98" s="1738"/>
      <c r="V98" s="1738"/>
      <c r="W98" s="1738"/>
      <c r="X98" s="1738"/>
      <c r="Y98" s="1738"/>
      <c r="Z98" s="1738"/>
      <c r="AA98" s="1738"/>
      <c r="AB98" s="1738"/>
      <c r="AC98" s="1738"/>
      <c r="AD98" s="1738"/>
      <c r="AE98" s="1738"/>
      <c r="AF98" s="1738"/>
      <c r="AG98" s="1738"/>
      <c r="AH98" s="1738"/>
      <c r="AI98" s="1738"/>
      <c r="AJ98" s="1738"/>
      <c r="AK98" s="1738"/>
    </row>
    <row r="99" spans="1:38">
      <c r="A99" s="3"/>
      <c r="D99" s="74"/>
      <c r="E99" s="1738"/>
      <c r="F99" s="1738"/>
      <c r="G99" s="1738"/>
      <c r="H99" s="1738"/>
      <c r="I99" s="1738"/>
      <c r="J99" s="1738"/>
      <c r="K99" s="1738"/>
      <c r="L99" s="1738"/>
      <c r="M99" s="1738"/>
      <c r="N99" s="1738"/>
      <c r="O99" s="1738"/>
      <c r="P99" s="1738"/>
      <c r="Q99" s="1738"/>
      <c r="R99" s="1738"/>
      <c r="S99" s="1738"/>
      <c r="T99" s="1738"/>
      <c r="U99" s="1738"/>
      <c r="V99" s="1738"/>
      <c r="W99" s="1738"/>
      <c r="X99" s="1738"/>
      <c r="Y99" s="1738"/>
      <c r="Z99" s="1738"/>
      <c r="AA99" s="1738"/>
      <c r="AB99" s="1738"/>
      <c r="AC99" s="1738"/>
      <c r="AD99" s="1738"/>
      <c r="AE99" s="1738"/>
      <c r="AF99" s="1738"/>
      <c r="AG99" s="1738"/>
      <c r="AH99" s="1738"/>
      <c r="AI99" s="1738"/>
      <c r="AJ99" s="1738"/>
      <c r="AK99" s="1738"/>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404" t="s">
        <v>158</v>
      </c>
      <c r="H205" s="1404"/>
      <c r="I205" s="1404"/>
      <c r="J205" s="1404"/>
      <c r="K205" s="1404"/>
      <c r="L205" s="1404"/>
      <c r="M205" s="1404"/>
      <c r="N205" s="1404"/>
      <c r="O205" s="1404"/>
      <c r="P205" s="1404"/>
      <c r="Q205" s="1404"/>
      <c r="R205" s="1404"/>
      <c r="S205" s="1404"/>
      <c r="T205" s="1404"/>
      <c r="U205" s="1404"/>
      <c r="V205" s="1404"/>
      <c r="W205" s="1404"/>
      <c r="X205" s="1404"/>
      <c r="Y205" s="1404"/>
      <c r="Z205" s="1404"/>
      <c r="AA205" s="1404"/>
      <c r="AB205" s="1404"/>
      <c r="AC205" s="1404"/>
      <c r="AD205" s="1404"/>
      <c r="AE205" s="1404"/>
      <c r="AF205" s="1404"/>
      <c r="AG205" s="1404"/>
      <c r="AH205" s="1404"/>
      <c r="AI205" s="1404"/>
      <c r="AJ205" s="1404"/>
      <c r="AK205" s="1404"/>
    </row>
    <row r="206" spans="2:37">
      <c r="B206" s="3"/>
      <c r="C206" s="3"/>
      <c r="D206" s="2"/>
      <c r="G206" s="1404"/>
      <c r="H206" s="1404"/>
      <c r="I206" s="1404"/>
      <c r="J206" s="1404"/>
      <c r="K206" s="1404"/>
      <c r="L206" s="1404"/>
      <c r="M206" s="1404"/>
      <c r="N206" s="1404"/>
      <c r="O206" s="1404"/>
      <c r="P206" s="1404"/>
      <c r="Q206" s="1404"/>
      <c r="R206" s="1404"/>
      <c r="S206" s="1404"/>
      <c r="T206" s="1404"/>
      <c r="U206" s="1404"/>
      <c r="V206" s="1404"/>
      <c r="W206" s="1404"/>
      <c r="X206" s="1404"/>
      <c r="Y206" s="1404"/>
      <c r="Z206" s="1404"/>
      <c r="AA206" s="1404"/>
      <c r="AB206" s="1404"/>
      <c r="AC206" s="1404"/>
      <c r="AD206" s="1404"/>
      <c r="AE206" s="1404"/>
      <c r="AF206" s="1404"/>
      <c r="AG206" s="1404"/>
      <c r="AH206" s="1404"/>
      <c r="AI206" s="1404"/>
      <c r="AJ206" s="1404"/>
      <c r="AK206" s="140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6"/>
      <c r="F221" s="1156"/>
      <c r="G221" s="1156"/>
      <c r="H221" s="1156"/>
      <c r="I221" s="1156"/>
      <c r="J221" s="1156"/>
      <c r="K221" s="5"/>
      <c r="L221" s="1156"/>
      <c r="M221" s="1156"/>
      <c r="N221" s="1156"/>
      <c r="O221" s="1156"/>
      <c r="P221" s="1156"/>
      <c r="Q221" s="1156"/>
      <c r="R221" s="1156"/>
      <c r="S221" s="1156"/>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6"/>
      <c r="K329" s="1156"/>
      <c r="L329" s="1156"/>
      <c r="M329" s="1156"/>
      <c r="N329" s="1156"/>
      <c r="O329" s="1156"/>
      <c r="P329" s="1156"/>
      <c r="Q329" s="1156"/>
      <c r="R329" s="1156"/>
      <c r="S329" s="1156"/>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404" t="s">
        <v>263</v>
      </c>
      <c r="G336" s="1404"/>
      <c r="H336" s="1404"/>
      <c r="I336" s="1404"/>
      <c r="J336" s="1404"/>
      <c r="K336" s="1404"/>
      <c r="L336" s="1404"/>
      <c r="M336" s="1404"/>
      <c r="N336" s="1404"/>
      <c r="O336" s="1404"/>
      <c r="P336" s="1404"/>
      <c r="Q336" s="1404"/>
      <c r="R336" s="1404"/>
      <c r="S336" s="1404"/>
      <c r="T336" s="1404"/>
      <c r="U336" s="1404"/>
      <c r="V336" s="1404"/>
      <c r="W336" s="1404"/>
      <c r="X336" s="1404"/>
      <c r="Y336" s="1404"/>
      <c r="Z336" s="1404"/>
      <c r="AA336" s="1404"/>
      <c r="AB336" s="1404"/>
      <c r="AC336" s="1404"/>
      <c r="AD336" s="1404"/>
      <c r="AE336" s="1404"/>
      <c r="AF336" s="1404"/>
      <c r="AG336" s="1404"/>
      <c r="AH336" s="1404"/>
      <c r="AI336" s="1404"/>
      <c r="AJ336" s="1404"/>
      <c r="AK336" s="1404"/>
    </row>
    <row r="337" spans="2:37">
      <c r="B337" s="2"/>
      <c r="E337" s="3"/>
      <c r="F337" s="1404"/>
      <c r="G337" s="1404"/>
      <c r="H337" s="1404"/>
      <c r="I337" s="1404"/>
      <c r="J337" s="1404"/>
      <c r="K337" s="1404"/>
      <c r="L337" s="1404"/>
      <c r="M337" s="1404"/>
      <c r="N337" s="1404"/>
      <c r="O337" s="1404"/>
      <c r="P337" s="1404"/>
      <c r="Q337" s="1404"/>
      <c r="R337" s="1404"/>
      <c r="S337" s="1404"/>
      <c r="T337" s="1404"/>
      <c r="U337" s="1404"/>
      <c r="V337" s="1404"/>
      <c r="W337" s="1404"/>
      <c r="X337" s="1404"/>
      <c r="Y337" s="1404"/>
      <c r="Z337" s="1404"/>
      <c r="AA337" s="1404"/>
      <c r="AB337" s="1404"/>
      <c r="AC337" s="1404"/>
      <c r="AD337" s="1404"/>
      <c r="AE337" s="1404"/>
      <c r="AF337" s="1404"/>
      <c r="AG337" s="1404"/>
      <c r="AH337" s="1404"/>
      <c r="AI337" s="1404"/>
      <c r="AJ337" s="1404"/>
      <c r="AK337" s="1404"/>
    </row>
    <row r="338" spans="2:37">
      <c r="B338" s="2"/>
      <c r="E338" s="3"/>
      <c r="F338" s="1404"/>
      <c r="G338" s="1404"/>
      <c r="H338" s="1404"/>
      <c r="I338" s="1404"/>
      <c r="J338" s="1404"/>
      <c r="K338" s="1404"/>
      <c r="L338" s="1404"/>
      <c r="M338" s="1404"/>
      <c r="N338" s="1404"/>
      <c r="O338" s="1404"/>
      <c r="P338" s="1404"/>
      <c r="Q338" s="1404"/>
      <c r="R338" s="1404"/>
      <c r="S338" s="1404"/>
      <c r="T338" s="1404"/>
      <c r="U338" s="1404"/>
      <c r="V338" s="1404"/>
      <c r="W338" s="1404"/>
      <c r="X338" s="1404"/>
      <c r="Y338" s="1404"/>
      <c r="Z338" s="1404"/>
      <c r="AA338" s="1404"/>
      <c r="AB338" s="1404"/>
      <c r="AC338" s="1404"/>
      <c r="AD338" s="1404"/>
      <c r="AE338" s="1404"/>
      <c r="AF338" s="1404"/>
      <c r="AG338" s="1404"/>
      <c r="AH338" s="1404"/>
      <c r="AI338" s="1404"/>
      <c r="AJ338" s="1404"/>
      <c r="AK338" s="140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731" t="s">
        <v>265</v>
      </c>
      <c r="F341" s="1731"/>
      <c r="G341" s="1731"/>
      <c r="H341" s="1731"/>
      <c r="I341" s="1731"/>
      <c r="J341" s="1731"/>
      <c r="K341" s="1731"/>
      <c r="L341" s="1731"/>
      <c r="M341" s="1731"/>
      <c r="N341" s="1731"/>
      <c r="O341" s="1731"/>
      <c r="P341" s="1731"/>
      <c r="Q341" s="1731"/>
      <c r="R341" s="1731"/>
      <c r="S341" s="1731"/>
      <c r="T341" s="1731"/>
      <c r="U341" s="1731"/>
      <c r="V341" s="1731"/>
      <c r="W341" s="1731"/>
      <c r="X341" s="1731"/>
      <c r="Y341" s="1731"/>
      <c r="Z341" s="1731"/>
      <c r="AA341" s="1731"/>
      <c r="AB341" s="1731"/>
      <c r="AC341" s="1731"/>
      <c r="AD341" s="1731"/>
      <c r="AE341" s="1731"/>
      <c r="AF341" s="1731"/>
      <c r="AG341" s="1731"/>
      <c r="AH341" s="1731"/>
      <c r="AI341" s="1731"/>
      <c r="AJ341" s="1731"/>
      <c r="AK341" s="1731"/>
    </row>
    <row r="342" spans="2:37">
      <c r="B342" s="2"/>
      <c r="E342" s="1731"/>
      <c r="F342" s="1731"/>
      <c r="G342" s="1731"/>
      <c r="H342" s="1731"/>
      <c r="I342" s="1731"/>
      <c r="J342" s="1731"/>
      <c r="K342" s="1731"/>
      <c r="L342" s="1731"/>
      <c r="M342" s="1731"/>
      <c r="N342" s="1731"/>
      <c r="O342" s="1731"/>
      <c r="P342" s="1731"/>
      <c r="Q342" s="1731"/>
      <c r="R342" s="1731"/>
      <c r="S342" s="1731"/>
      <c r="T342" s="1731"/>
      <c r="U342" s="1731"/>
      <c r="V342" s="1731"/>
      <c r="W342" s="1731"/>
      <c r="X342" s="1731"/>
      <c r="Y342" s="1731"/>
      <c r="Z342" s="1731"/>
      <c r="AA342" s="1731"/>
      <c r="AB342" s="1731"/>
      <c r="AC342" s="1731"/>
      <c r="AD342" s="1731"/>
      <c r="AE342" s="1731"/>
      <c r="AF342" s="1731"/>
      <c r="AG342" s="1731"/>
      <c r="AH342" s="1731"/>
      <c r="AI342" s="1731"/>
      <c r="AJ342" s="1731"/>
      <c r="AK342" s="1731"/>
    </row>
    <row r="343" spans="2:37">
      <c r="B343" s="2"/>
      <c r="E343" s="1731"/>
      <c r="F343" s="1731"/>
      <c r="G343" s="1731"/>
      <c r="H343" s="1731"/>
      <c r="I343" s="1731"/>
      <c r="J343" s="1731"/>
      <c r="K343" s="1731"/>
      <c r="L343" s="1731"/>
      <c r="M343" s="1731"/>
      <c r="N343" s="1731"/>
      <c r="O343" s="1731"/>
      <c r="P343" s="1731"/>
      <c r="Q343" s="1731"/>
      <c r="R343" s="1731"/>
      <c r="S343" s="1731"/>
      <c r="T343" s="1731"/>
      <c r="U343" s="1731"/>
      <c r="V343" s="1731"/>
      <c r="W343" s="1731"/>
      <c r="X343" s="1731"/>
      <c r="Y343" s="1731"/>
      <c r="Z343" s="1731"/>
      <c r="AA343" s="1731"/>
      <c r="AB343" s="1731"/>
      <c r="AC343" s="1731"/>
      <c r="AD343" s="1731"/>
      <c r="AE343" s="1731"/>
      <c r="AF343" s="1731"/>
      <c r="AG343" s="1731"/>
      <c r="AH343" s="1731"/>
      <c r="AI343" s="1731"/>
      <c r="AJ343" s="1731"/>
      <c r="AK343" s="1731"/>
    </row>
    <row r="344" spans="2:37">
      <c r="B344" s="2"/>
      <c r="E344" s="1731"/>
      <c r="F344" s="1731"/>
      <c r="G344" s="1731"/>
      <c r="H344" s="1731"/>
      <c r="I344" s="1731"/>
      <c r="J344" s="1731"/>
      <c r="K344" s="1731"/>
      <c r="L344" s="1731"/>
      <c r="M344" s="1731"/>
      <c r="N344" s="1731"/>
      <c r="O344" s="1731"/>
      <c r="P344" s="1731"/>
      <c r="Q344" s="1731"/>
      <c r="R344" s="1731"/>
      <c r="S344" s="1731"/>
      <c r="T344" s="1731"/>
      <c r="U344" s="1731"/>
      <c r="V344" s="1731"/>
      <c r="W344" s="1731"/>
      <c r="X344" s="1731"/>
      <c r="Y344" s="1731"/>
      <c r="Z344" s="1731"/>
      <c r="AA344" s="1731"/>
      <c r="AB344" s="1731"/>
      <c r="AC344" s="1731"/>
      <c r="AD344" s="1731"/>
      <c r="AE344" s="1731"/>
      <c r="AF344" s="1731"/>
      <c r="AG344" s="1731"/>
      <c r="AH344" s="1731"/>
      <c r="AI344" s="1731"/>
      <c r="AJ344" s="1731"/>
      <c r="AK344" s="1731"/>
    </row>
    <row r="345" spans="2:37">
      <c r="B345" s="2"/>
      <c r="E345" s="1731"/>
      <c r="F345" s="1731"/>
      <c r="G345" s="1731"/>
      <c r="H345" s="1731"/>
      <c r="I345" s="1731"/>
      <c r="J345" s="1731"/>
      <c r="K345" s="1731"/>
      <c r="L345" s="1731"/>
      <c r="M345" s="1731"/>
      <c r="N345" s="1731"/>
      <c r="O345" s="1731"/>
      <c r="P345" s="1731"/>
      <c r="Q345" s="1731"/>
      <c r="R345" s="1731"/>
      <c r="S345" s="1731"/>
      <c r="T345" s="1731"/>
      <c r="U345" s="1731"/>
      <c r="V345" s="1731"/>
      <c r="W345" s="1731"/>
      <c r="X345" s="1731"/>
      <c r="Y345" s="1731"/>
      <c r="Z345" s="1731"/>
      <c r="AA345" s="1731"/>
      <c r="AB345" s="1731"/>
      <c r="AC345" s="1731"/>
      <c r="AD345" s="1731"/>
      <c r="AE345" s="1731"/>
      <c r="AF345" s="1731"/>
      <c r="AG345" s="1731"/>
      <c r="AH345" s="1731"/>
      <c r="AI345" s="1731"/>
      <c r="AJ345" s="1731"/>
      <c r="AK345" s="1731"/>
    </row>
    <row r="346" spans="2:37">
      <c r="B346" s="2"/>
      <c r="E346" s="3" t="s">
        <v>18</v>
      </c>
      <c r="F346" s="1404" t="s">
        <v>266</v>
      </c>
      <c r="G346" s="1404"/>
      <c r="H346" s="1404"/>
      <c r="I346" s="1404"/>
      <c r="J346" s="1404"/>
      <c r="K346" s="1404"/>
      <c r="L346" s="1404"/>
      <c r="M346" s="1404"/>
      <c r="N346" s="1404"/>
      <c r="O346" s="1404"/>
      <c r="P346" s="1404"/>
      <c r="Q346" s="1404"/>
      <c r="R346" s="1404"/>
      <c r="S346" s="1404"/>
      <c r="T346" s="1404"/>
      <c r="U346" s="1404"/>
      <c r="V346" s="1404"/>
      <c r="W346" s="1404"/>
      <c r="X346" s="1404"/>
      <c r="Y346" s="1404"/>
      <c r="Z346" s="1404"/>
      <c r="AA346" s="1404"/>
      <c r="AB346" s="1404"/>
      <c r="AC346" s="1404"/>
      <c r="AD346" s="1404"/>
      <c r="AE346" s="1404"/>
      <c r="AF346" s="1404"/>
      <c r="AG346" s="1404"/>
      <c r="AH346" s="1404"/>
      <c r="AI346" s="1404"/>
      <c r="AJ346" s="1404"/>
      <c r="AK346" s="1404"/>
    </row>
    <row r="347" spans="2:37">
      <c r="B347" s="2"/>
      <c r="E347" s="3"/>
      <c r="F347" s="1404"/>
      <c r="G347" s="1404"/>
      <c r="H347" s="1404"/>
      <c r="I347" s="1404"/>
      <c r="J347" s="1404"/>
      <c r="K347" s="1404"/>
      <c r="L347" s="1404"/>
      <c r="M347" s="1404"/>
      <c r="N347" s="1404"/>
      <c r="O347" s="1404"/>
      <c r="P347" s="1404"/>
      <c r="Q347" s="1404"/>
      <c r="R347" s="1404"/>
      <c r="S347" s="1404"/>
      <c r="T347" s="1404"/>
      <c r="U347" s="1404"/>
      <c r="V347" s="1404"/>
      <c r="W347" s="1404"/>
      <c r="X347" s="1404"/>
      <c r="Y347" s="1404"/>
      <c r="Z347" s="1404"/>
      <c r="AA347" s="1404"/>
      <c r="AB347" s="1404"/>
      <c r="AC347" s="1404"/>
      <c r="AD347" s="1404"/>
      <c r="AE347" s="1404"/>
      <c r="AF347" s="1404"/>
      <c r="AG347" s="1404"/>
      <c r="AH347" s="1404"/>
      <c r="AI347" s="1404"/>
      <c r="AJ347" s="1404"/>
      <c r="AK347" s="1404"/>
    </row>
    <row r="348" spans="2:37">
      <c r="B348" s="2"/>
      <c r="E348" s="3"/>
      <c r="F348" s="1404"/>
      <c r="G348" s="1404"/>
      <c r="H348" s="1404"/>
      <c r="I348" s="1404"/>
      <c r="J348" s="1404"/>
      <c r="K348" s="1404"/>
      <c r="L348" s="1404"/>
      <c r="M348" s="1404"/>
      <c r="N348" s="1404"/>
      <c r="O348" s="1404"/>
      <c r="P348" s="1404"/>
      <c r="Q348" s="1404"/>
      <c r="R348" s="1404"/>
      <c r="S348" s="1404"/>
      <c r="T348" s="1404"/>
      <c r="U348" s="1404"/>
      <c r="V348" s="1404"/>
      <c r="W348" s="1404"/>
      <c r="X348" s="1404"/>
      <c r="Y348" s="1404"/>
      <c r="Z348" s="1404"/>
      <c r="AA348" s="1404"/>
      <c r="AB348" s="1404"/>
      <c r="AC348" s="1404"/>
      <c r="AD348" s="1404"/>
      <c r="AE348" s="1404"/>
      <c r="AF348" s="1404"/>
      <c r="AG348" s="1404"/>
      <c r="AH348" s="1404"/>
      <c r="AI348" s="1404"/>
      <c r="AJ348" s="1404"/>
      <c r="AK348" s="1404"/>
    </row>
    <row r="349" spans="2:37">
      <c r="B349" s="2"/>
      <c r="E349" s="3"/>
      <c r="F349" s="1404"/>
      <c r="G349" s="1404"/>
      <c r="H349" s="1404"/>
      <c r="I349" s="1404"/>
      <c r="J349" s="1404"/>
      <c r="K349" s="1404"/>
      <c r="L349" s="1404"/>
      <c r="M349" s="1404"/>
      <c r="N349" s="1404"/>
      <c r="O349" s="1404"/>
      <c r="P349" s="1404"/>
      <c r="Q349" s="1404"/>
      <c r="R349" s="1404"/>
      <c r="S349" s="1404"/>
      <c r="T349" s="1404"/>
      <c r="U349" s="1404"/>
      <c r="V349" s="1404"/>
      <c r="W349" s="1404"/>
      <c r="X349" s="1404"/>
      <c r="Y349" s="1404"/>
      <c r="Z349" s="1404"/>
      <c r="AA349" s="1404"/>
      <c r="AB349" s="1404"/>
      <c r="AC349" s="1404"/>
      <c r="AD349" s="1404"/>
      <c r="AE349" s="1404"/>
      <c r="AF349" s="1404"/>
      <c r="AG349" s="1404"/>
      <c r="AH349" s="1404"/>
      <c r="AI349" s="1404"/>
      <c r="AJ349" s="1404"/>
      <c r="AK349" s="1404"/>
    </row>
    <row r="350" spans="2:37">
      <c r="B350" s="2"/>
      <c r="E350" s="3" t="s">
        <v>31</v>
      </c>
      <c r="F350" s="1404" t="s">
        <v>267</v>
      </c>
      <c r="G350" s="1404"/>
      <c r="H350" s="1404"/>
      <c r="I350" s="1404"/>
      <c r="J350" s="1404"/>
      <c r="K350" s="1404"/>
      <c r="L350" s="1404"/>
      <c r="M350" s="1404"/>
      <c r="N350" s="1404"/>
      <c r="O350" s="1404"/>
      <c r="P350" s="1404"/>
      <c r="Q350" s="1404"/>
      <c r="R350" s="1404"/>
      <c r="S350" s="1404"/>
      <c r="T350" s="1404"/>
      <c r="U350" s="1404"/>
      <c r="V350" s="1404"/>
      <c r="W350" s="1404"/>
      <c r="X350" s="1404"/>
      <c r="Y350" s="1404"/>
      <c r="Z350" s="1404"/>
      <c r="AA350" s="1404"/>
      <c r="AB350" s="1404"/>
      <c r="AC350" s="1404"/>
      <c r="AD350" s="1404"/>
      <c r="AE350" s="1404"/>
      <c r="AF350" s="1404"/>
      <c r="AG350" s="1404"/>
      <c r="AH350" s="1404"/>
      <c r="AI350" s="1404"/>
      <c r="AJ350" s="1404"/>
      <c r="AK350" s="1404"/>
    </row>
    <row r="351" spans="2:37">
      <c r="B351" s="2"/>
      <c r="F351" s="1404"/>
      <c r="G351" s="1404"/>
      <c r="H351" s="1404"/>
      <c r="I351" s="1404"/>
      <c r="J351" s="1404"/>
      <c r="K351" s="1404"/>
      <c r="L351" s="1404"/>
      <c r="M351" s="1404"/>
      <c r="N351" s="1404"/>
      <c r="O351" s="1404"/>
      <c r="P351" s="1404"/>
      <c r="Q351" s="1404"/>
      <c r="R351" s="1404"/>
      <c r="S351" s="1404"/>
      <c r="T351" s="1404"/>
      <c r="U351" s="1404"/>
      <c r="V351" s="1404"/>
      <c r="W351" s="1404"/>
      <c r="X351" s="1404"/>
      <c r="Y351" s="1404"/>
      <c r="Z351" s="1404"/>
      <c r="AA351" s="1404"/>
      <c r="AB351" s="1404"/>
      <c r="AC351" s="1404"/>
      <c r="AD351" s="1404"/>
      <c r="AE351" s="1404"/>
      <c r="AF351" s="1404"/>
      <c r="AG351" s="1404"/>
      <c r="AH351" s="1404"/>
      <c r="AI351" s="1404"/>
      <c r="AJ351" s="1404"/>
      <c r="AK351" s="1404"/>
    </row>
    <row r="352" spans="2:37">
      <c r="B352" s="2"/>
      <c r="F352" s="1404"/>
      <c r="G352" s="1404"/>
      <c r="H352" s="1404"/>
      <c r="I352" s="1404"/>
      <c r="J352" s="1404"/>
      <c r="K352" s="1404"/>
      <c r="L352" s="1404"/>
      <c r="M352" s="1404"/>
      <c r="N352" s="1404"/>
      <c r="O352" s="1404"/>
      <c r="P352" s="1404"/>
      <c r="Q352" s="1404"/>
      <c r="R352" s="1404"/>
      <c r="S352" s="1404"/>
      <c r="T352" s="1404"/>
      <c r="U352" s="1404"/>
      <c r="V352" s="1404"/>
      <c r="W352" s="1404"/>
      <c r="X352" s="1404"/>
      <c r="Y352" s="1404"/>
      <c r="Z352" s="1404"/>
      <c r="AA352" s="1404"/>
      <c r="AB352" s="1404"/>
      <c r="AC352" s="1404"/>
      <c r="AD352" s="1404"/>
      <c r="AE352" s="1404"/>
      <c r="AF352" s="1404"/>
      <c r="AG352" s="1404"/>
      <c r="AH352" s="1404"/>
      <c r="AI352" s="1404"/>
      <c r="AJ352" s="1404"/>
      <c r="AK352" s="140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6"/>
      <c r="N354" s="1156"/>
      <c r="O354" s="1156"/>
      <c r="P354" s="1156"/>
      <c r="Q354" s="1156"/>
      <c r="R354" s="1156"/>
      <c r="S354" s="1156"/>
      <c r="T354" s="1156"/>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32" t="s">
        <v>277</v>
      </c>
      <c r="F365" s="1732"/>
      <c r="G365" s="1732"/>
      <c r="H365" s="1732"/>
      <c r="I365" s="1732"/>
      <c r="J365" s="1732"/>
      <c r="K365" s="1732"/>
      <c r="L365" s="1732"/>
      <c r="M365" s="1732"/>
      <c r="N365" s="1732"/>
      <c r="O365" s="1732"/>
      <c r="P365" s="1732"/>
      <c r="Q365" s="1732"/>
      <c r="R365" s="1732"/>
      <c r="S365" s="1732"/>
      <c r="T365" s="1732"/>
      <c r="U365" s="1732"/>
      <c r="V365" s="1732"/>
      <c r="W365" s="1732"/>
      <c r="X365" s="1732"/>
      <c r="Y365" s="1732"/>
      <c r="Z365" s="1732"/>
      <c r="AA365" s="1732"/>
      <c r="AB365" s="1732"/>
      <c r="AC365" s="1732"/>
      <c r="AD365" s="1732"/>
      <c r="AE365" s="1732"/>
      <c r="AF365" s="1732"/>
      <c r="AG365" s="1732"/>
      <c r="AH365" s="1732"/>
      <c r="AI365" s="1732"/>
      <c r="AJ365" s="1732"/>
      <c r="AK365" s="1732"/>
      <c r="AL365" s="1732"/>
    </row>
    <row r="366" spans="1:38">
      <c r="B366" s="2"/>
      <c r="E366" s="1732"/>
      <c r="F366" s="1732"/>
      <c r="G366" s="1732"/>
      <c r="H366" s="1732"/>
      <c r="I366" s="1732"/>
      <c r="J366" s="1732"/>
      <c r="K366" s="1732"/>
      <c r="L366" s="1732"/>
      <c r="M366" s="1732"/>
      <c r="N366" s="1732"/>
      <c r="O366" s="1732"/>
      <c r="P366" s="1732"/>
      <c r="Q366" s="1732"/>
      <c r="R366" s="1732"/>
      <c r="S366" s="1732"/>
      <c r="T366" s="1732"/>
      <c r="U366" s="1732"/>
      <c r="V366" s="1732"/>
      <c r="W366" s="1732"/>
      <c r="X366" s="1732"/>
      <c r="Y366" s="1732"/>
      <c r="Z366" s="1732"/>
      <c r="AA366" s="1732"/>
      <c r="AB366" s="1732"/>
      <c r="AC366" s="1732"/>
      <c r="AD366" s="1732"/>
      <c r="AE366" s="1732"/>
      <c r="AF366" s="1732"/>
      <c r="AG366" s="1732"/>
      <c r="AH366" s="1732"/>
      <c r="AI366" s="1732"/>
      <c r="AJ366" s="1732"/>
      <c r="AK366" s="1732"/>
      <c r="AL366" s="1732"/>
    </row>
    <row r="367" spans="1:38" s="1733" customFormat="1">
      <c r="A367"/>
      <c r="B367" s="2"/>
      <c r="C367"/>
      <c r="D367"/>
      <c r="E367" s="1479" t="s">
        <v>278</v>
      </c>
      <c r="F367" s="1479"/>
      <c r="G367" s="1479"/>
      <c r="H367" s="1479"/>
      <c r="I367" s="1479"/>
      <c r="J367" s="1479"/>
      <c r="K367" s="1479"/>
      <c r="L367" s="1479"/>
      <c r="M367" s="1479"/>
      <c r="N367" s="1479"/>
      <c r="O367" s="1479"/>
      <c r="P367" s="1479"/>
      <c r="Q367" s="1479"/>
      <c r="R367" s="1479"/>
      <c r="S367" s="1479"/>
      <c r="T367" s="1479"/>
      <c r="U367" s="1479"/>
      <c r="V367" s="1479"/>
      <c r="W367" s="1479"/>
      <c r="X367" s="1479"/>
      <c r="Y367" s="1479"/>
      <c r="Z367" s="1479"/>
      <c r="AA367" s="1479"/>
      <c r="AB367" s="1479"/>
      <c r="AC367" s="1479"/>
      <c r="AD367" s="1479"/>
      <c r="AE367" s="1479"/>
      <c r="AF367" s="1479"/>
      <c r="AG367" s="1479"/>
      <c r="AH367" s="1479"/>
      <c r="AI367" s="1479"/>
      <c r="AJ367" s="1479"/>
      <c r="AK367" s="1479"/>
      <c r="AL367" s="1479"/>
    </row>
    <row r="368" spans="1:38" s="1733" customFormat="1">
      <c r="A368"/>
      <c r="B368" s="2"/>
      <c r="C368" s="2"/>
      <c r="D368"/>
      <c r="E368" s="1479"/>
      <c r="F368" s="1479"/>
      <c r="G368" s="1479"/>
      <c r="H368" s="1479"/>
      <c r="I368" s="1479"/>
      <c r="J368" s="1479"/>
      <c r="K368" s="1479"/>
      <c r="L368" s="1479"/>
      <c r="M368" s="1479"/>
      <c r="N368" s="1479"/>
      <c r="O368" s="1479"/>
      <c r="P368" s="1479"/>
      <c r="Q368" s="1479"/>
      <c r="R368" s="1479"/>
      <c r="S368" s="1479"/>
      <c r="T368" s="1479"/>
      <c r="U368" s="1479"/>
      <c r="V368" s="1479"/>
      <c r="W368" s="1479"/>
      <c r="X368" s="1479"/>
      <c r="Y368" s="1479"/>
      <c r="Z368" s="1479"/>
      <c r="AA368" s="1479"/>
      <c r="AB368" s="1479"/>
      <c r="AC368" s="1479"/>
      <c r="AD368" s="1479"/>
      <c r="AE368" s="1479"/>
      <c r="AF368" s="1479"/>
      <c r="AG368" s="1479"/>
      <c r="AH368" s="1479"/>
      <c r="AI368" s="1479"/>
      <c r="AJ368" s="1479"/>
      <c r="AK368" s="1479"/>
      <c r="AL368" s="147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404" t="s">
        <v>290</v>
      </c>
      <c r="G386" s="1404"/>
      <c r="H386" s="1404"/>
      <c r="I386" s="1404"/>
      <c r="J386" s="1404"/>
      <c r="K386" s="1404"/>
      <c r="L386" s="1404"/>
      <c r="M386" s="1404"/>
      <c r="N386" s="1404"/>
      <c r="O386" s="1404"/>
      <c r="P386" s="1404"/>
      <c r="Q386" s="1404"/>
      <c r="R386" s="1404"/>
      <c r="S386" s="1404"/>
      <c r="T386" s="1404"/>
      <c r="U386" s="1404"/>
      <c r="V386" s="1404"/>
      <c r="W386" s="1404"/>
      <c r="X386" s="1404"/>
      <c r="Y386" s="1404"/>
      <c r="Z386" s="1404"/>
      <c r="AA386" s="1404"/>
      <c r="AB386" s="1404"/>
      <c r="AC386" s="1404"/>
      <c r="AD386" s="1404"/>
      <c r="AE386" s="1404"/>
      <c r="AF386" s="1404"/>
      <c r="AG386" s="1404"/>
      <c r="AH386" s="1404"/>
      <c r="AI386" s="1404"/>
      <c r="AJ386" s="1404"/>
      <c r="AK386" s="1404"/>
    </row>
    <row r="387" spans="1:38">
      <c r="B387" s="2"/>
      <c r="E387" s="3"/>
      <c r="F387" s="1404"/>
      <c r="G387" s="1404"/>
      <c r="H387" s="1404"/>
      <c r="I387" s="1404"/>
      <c r="J387" s="1404"/>
      <c r="K387" s="1404"/>
      <c r="L387" s="1404"/>
      <c r="M387" s="1404"/>
      <c r="N387" s="1404"/>
      <c r="O387" s="1404"/>
      <c r="P387" s="1404"/>
      <c r="Q387" s="1404"/>
      <c r="R387" s="1404"/>
      <c r="S387" s="1404"/>
      <c r="T387" s="1404"/>
      <c r="U387" s="1404"/>
      <c r="V387" s="1404"/>
      <c r="W387" s="1404"/>
      <c r="X387" s="1404"/>
      <c r="Y387" s="1404"/>
      <c r="Z387" s="1404"/>
      <c r="AA387" s="1404"/>
      <c r="AB387" s="1404"/>
      <c r="AC387" s="1404"/>
      <c r="AD387" s="1404"/>
      <c r="AE387" s="1404"/>
      <c r="AF387" s="1404"/>
      <c r="AG387" s="1404"/>
      <c r="AH387" s="1404"/>
      <c r="AI387" s="1404"/>
      <c r="AJ387" s="1404"/>
      <c r="AK387" s="1404"/>
    </row>
    <row r="388" spans="1:38">
      <c r="B388" s="2"/>
      <c r="E388" s="3"/>
      <c r="F388" s="1404"/>
      <c r="G388" s="1404"/>
      <c r="H388" s="1404"/>
      <c r="I388" s="1404"/>
      <c r="J388" s="1404"/>
      <c r="K388" s="1404"/>
      <c r="L388" s="1404"/>
      <c r="M388" s="1404"/>
      <c r="N388" s="1404"/>
      <c r="O388" s="1404"/>
      <c r="P388" s="1404"/>
      <c r="Q388" s="1404"/>
      <c r="R388" s="1404"/>
      <c r="S388" s="1404"/>
      <c r="T388" s="1404"/>
      <c r="U388" s="1404"/>
      <c r="V388" s="1404"/>
      <c r="W388" s="1404"/>
      <c r="X388" s="1404"/>
      <c r="Y388" s="1404"/>
      <c r="Z388" s="1404"/>
      <c r="AA388" s="1404"/>
      <c r="AB388" s="1404"/>
      <c r="AC388" s="1404"/>
      <c r="AD388" s="1404"/>
      <c r="AE388" s="1404"/>
      <c r="AF388" s="1404"/>
      <c r="AG388" s="1404"/>
      <c r="AH388" s="1404"/>
      <c r="AI388" s="1404"/>
      <c r="AJ388" s="1404"/>
      <c r="AK388" s="140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5" sqref="H5"/>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6" t="s">
        <v>2610</v>
      </c>
      <c r="B1" s="2586"/>
      <c r="C1" s="2586"/>
      <c r="D1" s="2586"/>
      <c r="E1" s="2586"/>
      <c r="F1" s="2586"/>
      <c r="G1" s="2586"/>
      <c r="H1" s="2586"/>
      <c r="I1" s="2586"/>
      <c r="J1" s="2586"/>
    </row>
    <row r="2" spans="1:13" ht="15" customHeight="1" thickBot="1">
      <c r="A2" s="931"/>
      <c r="B2" s="931"/>
      <c r="I2" s="932"/>
      <c r="K2" s="933"/>
    </row>
    <row r="3" spans="1:13" s="936" customFormat="1" ht="20.100000000000001" customHeight="1">
      <c r="A3" s="983"/>
      <c r="B3" s="984"/>
      <c r="C3" s="985"/>
      <c r="D3" s="990"/>
      <c r="E3" s="985"/>
      <c r="F3" s="986" t="s">
        <v>2611</v>
      </c>
      <c r="G3" s="985"/>
      <c r="H3" s="987">
        <f>E18</f>
        <v>45049418</v>
      </c>
      <c r="I3" s="988"/>
    </row>
    <row r="4" spans="1:13" s="936" customFormat="1" ht="20.100000000000001" customHeight="1">
      <c r="B4" s="977"/>
      <c r="D4" s="991"/>
      <c r="F4" s="976" t="s">
        <v>2612</v>
      </c>
      <c r="G4" s="975" t="s">
        <v>2613</v>
      </c>
      <c r="H4" s="1090">
        <f>I18</f>
        <v>31586440.351637498</v>
      </c>
      <c r="I4" s="978"/>
      <c r="K4" s="940"/>
    </row>
    <row r="5" spans="1:13" s="936" customFormat="1" ht="20.100000000000001" customHeight="1" thickBot="1">
      <c r="B5" s="979"/>
      <c r="C5" s="980"/>
      <c r="D5" s="992"/>
      <c r="E5" s="981"/>
      <c r="F5" s="992" t="s">
        <v>2614</v>
      </c>
      <c r="G5" s="993"/>
      <c r="H5" s="989">
        <f>IFERROR(H3/H4,0)</f>
        <v>1.4262264914464968</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89" t="s">
        <v>2615</v>
      </c>
      <c r="C8" s="2590"/>
      <c r="D8" s="2590"/>
      <c r="E8" s="2591"/>
      <c r="G8" s="2592" t="s">
        <v>2616</v>
      </c>
      <c r="H8" s="2593"/>
      <c r="I8" s="2594"/>
      <c r="K8" s="942"/>
    </row>
    <row r="9" spans="1:13" ht="15" customHeight="1">
      <c r="A9" s="931"/>
      <c r="B9" s="2587" t="s">
        <v>2617</v>
      </c>
      <c r="C9" s="2587"/>
      <c r="D9" s="2587"/>
      <c r="E9" s="944">
        <f>G33</f>
        <v>5987500</v>
      </c>
      <c r="G9" s="2583" t="s">
        <v>2618</v>
      </c>
      <c r="H9" s="2583"/>
      <c r="I9" s="945">
        <f>MAX(SUMIF(Application!M562:M573,"Loan, Tax-Exempt",Application!AM562:AM573),27.5%*SUM('Sources and Uses Budget'!C8,'Sources and Uses Budget'!S105,'Sources and Uses Budget'!T105))</f>
        <v>21332341.365621213</v>
      </c>
      <c r="K9" s="946"/>
      <c r="M9" s="947"/>
    </row>
    <row r="10" spans="1:13" ht="15" customHeight="1" thickBot="1">
      <c r="A10" s="931"/>
      <c r="B10" s="2587" t="s">
        <v>2619</v>
      </c>
      <c r="C10" s="2587"/>
      <c r="D10" s="2587"/>
      <c r="E10" s="945">
        <f>G47</f>
        <v>29469168</v>
      </c>
      <c r="G10" s="2585" t="s">
        <v>2620</v>
      </c>
      <c r="H10" s="2585"/>
      <c r="I10" s="1023">
        <f>IF(OR(Application!Z205="State Farmworker Credit",Application!Z205="$500M (Farmworker Housing)"),0,'Basis &amp; Credits'!AB78)</f>
        <v>16954253</v>
      </c>
      <c r="M10" s="947"/>
    </row>
    <row r="11" spans="1:13" ht="15" customHeight="1">
      <c r="A11" s="931"/>
      <c r="B11" s="2596" t="s">
        <v>2621</v>
      </c>
      <c r="C11" s="2597"/>
      <c r="D11" s="2598"/>
      <c r="E11" s="945">
        <f>SUM(E13,E12)</f>
        <v>1330000</v>
      </c>
      <c r="G11" s="2595" t="s">
        <v>2622</v>
      </c>
      <c r="H11" s="2595"/>
      <c r="I11" s="1022">
        <f>I9+I10</f>
        <v>38286594.365621209</v>
      </c>
      <c r="M11" s="947"/>
    </row>
    <row r="12" spans="1:13" ht="15" customHeight="1">
      <c r="A12" s="948"/>
      <c r="B12" s="2588" t="s">
        <v>2623</v>
      </c>
      <c r="C12" s="2588"/>
      <c r="D12" s="2588"/>
      <c r="E12" s="1047">
        <f>G56</f>
        <v>980000</v>
      </c>
      <c r="M12" s="947"/>
    </row>
    <row r="13" spans="1:13" ht="15" customHeight="1">
      <c r="A13" s="934"/>
      <c r="B13" s="2588" t="s">
        <v>2624</v>
      </c>
      <c r="C13" s="2588"/>
      <c r="D13" s="2588"/>
      <c r="E13" s="1047">
        <f>IF(G67,MAX(G65,G79),G65)</f>
        <v>350000</v>
      </c>
      <c r="G13" s="2592" t="s">
        <v>2625</v>
      </c>
      <c r="H13" s="2593"/>
      <c r="I13" s="2594"/>
    </row>
    <row r="14" spans="1:13" ht="15" customHeight="1">
      <c r="A14" s="934"/>
      <c r="B14" s="2596" t="s">
        <v>2626</v>
      </c>
      <c r="C14" s="2597"/>
      <c r="D14" s="2598"/>
      <c r="E14" s="1049">
        <f>MAX(E15,E16)+E17</f>
        <v>8262750</v>
      </c>
      <c r="G14" s="2583" t="s">
        <v>2627</v>
      </c>
      <c r="H14" s="2583"/>
      <c r="I14" s="949">
        <f>IF(AND(G134="Yes",G136&lt;&gt;""),IF(OR(G141="Yes",G145="Yes"),18%,15%),0)</f>
        <v>0.15</v>
      </c>
      <c r="M14" s="947"/>
    </row>
    <row r="15" spans="1:13" ht="15" customHeight="1">
      <c r="A15" s="934"/>
      <c r="B15" s="2599" t="s">
        <v>2628</v>
      </c>
      <c r="C15" s="2600"/>
      <c r="D15" s="2601"/>
      <c r="E15" s="1047">
        <f>G94</f>
        <v>0</v>
      </c>
      <c r="G15" s="1020" t="s">
        <v>1935</v>
      </c>
      <c r="H15" s="1020"/>
      <c r="I15" s="949">
        <f>IF(Application!AJ1041&gt;0,10%,IF(Application!AJ1045&gt;0,5%,0))</f>
        <v>0</v>
      </c>
      <c r="M15" s="947"/>
    </row>
    <row r="16" spans="1:13" ht="15" customHeight="1">
      <c r="A16" s="934"/>
      <c r="B16" s="2599" t="s">
        <v>2629</v>
      </c>
      <c r="C16" s="2600"/>
      <c r="D16" s="2601"/>
      <c r="E16" s="1047">
        <f>G104</f>
        <v>0</v>
      </c>
      <c r="G16" s="2583" t="s">
        <v>2630</v>
      </c>
      <c r="H16" s="2583"/>
      <c r="I16" s="949">
        <f>G155</f>
        <v>2.5000000000000001E-2</v>
      </c>
    </row>
    <row r="17" spans="1:21" ht="15" customHeight="1" thickBot="1">
      <c r="A17" s="934"/>
      <c r="B17" s="2599" t="s">
        <v>2631</v>
      </c>
      <c r="C17" s="2600"/>
      <c r="D17" s="2601"/>
      <c r="E17" s="1047">
        <f>G129</f>
        <v>8262750</v>
      </c>
      <c r="G17" s="2583" t="s">
        <v>2632</v>
      </c>
      <c r="H17" s="2583"/>
      <c r="I17" s="949">
        <f>IF(AND(G161="Yes",G159),IF(G165&gt;15%,15%,G165),0)</f>
        <v>0</v>
      </c>
    </row>
    <row r="18" spans="1:21" ht="15" customHeight="1">
      <c r="A18" s="931"/>
      <c r="B18" s="2584" t="s">
        <v>2633</v>
      </c>
      <c r="C18" s="2584"/>
      <c r="D18" s="2584"/>
      <c r="E18" s="994">
        <f>SUM(E9:E11,E14)</f>
        <v>45049418</v>
      </c>
      <c r="G18" s="1021" t="s">
        <v>2634</v>
      </c>
      <c r="H18" s="1021"/>
      <c r="I18" s="995">
        <f>I11-((I11*I14)+(I11*I15)+(I11*I16)+(I11*I17))</f>
        <v>31586440.351637498</v>
      </c>
      <c r="M18" s="950">
        <f>SUM(Cdlac[Quantity])</f>
        <v>99</v>
      </c>
      <c r="O18" s="969" t="s">
        <v>949</v>
      </c>
      <c r="P18" s="929">
        <f>MATCH(Application!T189,Application!CB160:CB217,0)</f>
        <v>27</v>
      </c>
      <c r="T18" s="950">
        <f>SUM(Cdlac[Population])</f>
        <v>35</v>
      </c>
    </row>
    <row r="19" spans="1:21" ht="15" customHeight="1">
      <c r="A19" s="931"/>
      <c r="B19" s="931"/>
      <c r="C19" s="931"/>
      <c r="D19" s="931"/>
      <c r="E19" s="931"/>
      <c r="L19" s="929" t="s">
        <v>2635</v>
      </c>
      <c r="M19" s="929" t="s">
        <v>2636</v>
      </c>
      <c r="N19" s="929" t="s">
        <v>2637</v>
      </c>
      <c r="O19" s="929" t="s">
        <v>2638</v>
      </c>
      <c r="P19" s="929" t="s">
        <v>2639</v>
      </c>
      <c r="Q19" s="929" t="s">
        <v>2640</v>
      </c>
      <c r="R19" s="929" t="s">
        <v>2641</v>
      </c>
      <c r="S19" s="929" t="s">
        <v>2642</v>
      </c>
      <c r="T19" s="929" t="s">
        <v>2643</v>
      </c>
      <c r="U19" s="929" t="s">
        <v>1012</v>
      </c>
    </row>
    <row r="20" spans="1:21" ht="15" customHeight="1">
      <c r="B20" s="951" t="str">
        <f>B9</f>
        <v>A. Unit Production Benefit</v>
      </c>
      <c r="C20" s="952"/>
      <c r="D20" s="952"/>
      <c r="E20" s="952"/>
      <c r="F20" s="952"/>
      <c r="G20" s="952"/>
      <c r="H20" s="952"/>
      <c r="I20" s="953"/>
      <c r="L20" s="929">
        <f>IFERROR(MIN(4,MATCH(Application!B726,UnitSizes,0)-1),"")</f>
        <v>1</v>
      </c>
      <c r="M20" s="950">
        <f>Application!G726</f>
        <v>18</v>
      </c>
      <c r="N20" s="956">
        <f>Application!AC726</f>
        <v>0.3</v>
      </c>
      <c r="O20" s="956">
        <f>IF(Cdlac[[#This Row],[Quantity]]&gt;0,IF(Cdlac[[#This Row],[Federal]],30%,IF(AND(OR(NOT($G$38),$G$38=""),$G$43),40%,Cdlac[[#This Row],[iAMI]])),"")</f>
        <v>0.3</v>
      </c>
      <c r="P20" s="950" cm="1">
        <f t="array" ref="P20">IF(Cdlac[[#This Row],[Quantity]]&gt;0,INDEX(TcacRents,$P$18,Cdlac[[#This Row],[Bedrooms]]+1)*Cdlac[[#This Row],[AMI]],"")</f>
        <v>813</v>
      </c>
      <c r="Q20" s="1046"/>
      <c r="R20" s="950" cm="1">
        <f t="array" ref="R20">IF(Cdlac[[#This Row],[Quantity]]&gt;0,INDEX(HudFmrs,$P$18,Cdlac[[#This Row],[Bedrooms]]+1),"")</f>
        <v>2479</v>
      </c>
      <c r="S20" s="950">
        <f>IF(Cdlac[[#This Row],[Quantity]]&gt;0,MAX(0,Cdlac[[#This Row],[Fair Market Rent]]-IF(AND($G$37,$G$38,$G$38&lt;&gt;"",NOT(Cdlac[[#This Row],[Federal]]),Cdlac[[#This Row],[Preservation Rent]]&lt;&gt;""),Cdlac[[#This Row],[Preservation Rent]],Cdlac[[#This Row],[Restricted Rent]])),"")</f>
        <v>1666</v>
      </c>
      <c r="T20" s="929">
        <f>IF(Cdlac[[#This Row],[Quantity]]&gt;0,AND(Application!AK726&lt;&gt;"N/A",Application!AK726&lt;&gt;"")*Cdlac[[#This Row],[Quantity]],"")</f>
        <v>18</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7</v>
      </c>
      <c r="N21" s="956">
        <f>Application!AC727</f>
        <v>0.3</v>
      </c>
      <c r="O21" s="956">
        <f>IF(Cdlac[[#This Row],[Quantity]]&gt;0,IF(Cdlac[[#This Row],[Federal]],30%,IF(AND(OR(NOT($G$38),$G$38=""),$G$43),40%,Cdlac[[#This Row],[iAMI]])),"")</f>
        <v>0.3</v>
      </c>
      <c r="P21" s="950" cm="1">
        <f t="array" ref="P21">IF(Cdlac[[#This Row],[Quantity]]&gt;0,INDEX(TcacRents,$P$18,Cdlac[[#This Row],[Bedrooms]]+1)*Cdlac[[#This Row],[AMI]],"")</f>
        <v>813</v>
      </c>
      <c r="Q21" s="1046"/>
      <c r="R21" s="950" cm="1">
        <f t="array" ref="R21">IF(Cdlac[[#This Row],[Quantity]]&gt;0,INDEX(HudFmrs,$P$18,Cdlac[[#This Row],[Bedrooms]]+1),"")</f>
        <v>2479</v>
      </c>
      <c r="S21" s="950">
        <f>IF(Cdlac[[#This Row],[Quantity]]&gt;0,MAX(0,Cdlac[[#This Row],[Fair Market Rent]]-IF(AND($G$37,$G$38,$G$38&lt;&gt;"",NOT(Cdlac[[#This Row],[Federal]]),Cdlac[[#This Row],[Preservation Rent]]&lt;&gt;""),Cdlac[[#This Row],[Preservation Rent]],Cdlac[[#This Row],[Restricted Rent]])),"")</f>
        <v>1666</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3" t="s">
        <v>2644</v>
      </c>
      <c r="D22" s="2573" t="s">
        <v>2645</v>
      </c>
      <c r="E22" s="2573" t="s">
        <v>2646</v>
      </c>
      <c r="F22" s="2573" t="s">
        <v>2647</v>
      </c>
      <c r="G22" s="2573" t="s">
        <v>2648</v>
      </c>
      <c r="H22" s="955"/>
      <c r="I22" s="954"/>
      <c r="L22" s="929">
        <f>IFERROR(MIN(4,MATCH(Application!B728,UnitSizes,0)-1),"")</f>
        <v>1</v>
      </c>
      <c r="M22" s="950">
        <f>Application!G728</f>
        <v>17</v>
      </c>
      <c r="N22" s="956">
        <f>Application!AC728</f>
        <v>0.5</v>
      </c>
      <c r="O22" s="956">
        <f>IF(Cdlac[[#This Row],[Quantity]]&gt;0,IF(Cdlac[[#This Row],[Federal]],30%,IF(AND(OR(NOT($G$38),$G$38=""),$G$43),40%,Cdlac[[#This Row],[iAMI]])),"")</f>
        <v>0.5</v>
      </c>
      <c r="P22" s="950" cm="1">
        <f t="array" ref="P22">IF(Cdlac[[#This Row],[Quantity]]&gt;0,INDEX(TcacRents,$P$18,Cdlac[[#This Row],[Bedrooms]]+1)*Cdlac[[#This Row],[AMI]],"")</f>
        <v>1355</v>
      </c>
      <c r="Q22" s="1046"/>
      <c r="R22" s="950" cm="1">
        <f t="array" ref="R22">IF(Cdlac[[#This Row],[Quantity]]&gt;0,INDEX(HudFmrs,$P$18,Cdlac[[#This Row],[Bedrooms]]+1),"")</f>
        <v>2479</v>
      </c>
      <c r="S22" s="950">
        <f>IF(Cdlac[[#This Row],[Quantity]]&gt;0,MAX(0,Cdlac[[#This Row],[Fair Market Rent]]-IF(AND($G$37,$G$38,$G$38&lt;&gt;"",NOT(Cdlac[[#This Row],[Federal]]),Cdlac[[#This Row],[Preservation Rent]]&lt;&gt;""),Cdlac[[#This Row],[Preservation Rent]],Cdlac[[#This Row],[Restricted Rent]])),"")</f>
        <v>1124</v>
      </c>
      <c r="T22" s="929">
        <f>IF(Cdlac[[#This Row],[Quantity]]&gt;0,AND(Application!AK728&lt;&gt;"N/A",Application!AK728&lt;&gt;"")*Cdlac[[#This Row],[Quantity]],"")</f>
        <v>17</v>
      </c>
      <c r="U22" s="929" t="b">
        <f>AND('Subsidy Contract Calculation'!F6&gt;0,OR('Subsidy Contract Calculation'!C6="Federal",'Subsidy Contract Calculation'!C6="Local - Approved by ED"),Cdlac[[#This Row],[Quantity]]&gt;0)</f>
        <v>0</v>
      </c>
    </row>
    <row r="23" spans="1:21" ht="15" customHeight="1">
      <c r="A23" s="934"/>
      <c r="C23" s="2574"/>
      <c r="D23" s="2574"/>
      <c r="E23" s="2574"/>
      <c r="F23" s="2574"/>
      <c r="G23" s="2574"/>
      <c r="H23" s="955"/>
      <c r="I23" s="954"/>
      <c r="L23" s="929">
        <f>IFERROR(MIN(4,MATCH(Application!B729,UnitSizes,0)-1),"")</f>
        <v>2</v>
      </c>
      <c r="M23" s="950">
        <f>Application!G729</f>
        <v>13</v>
      </c>
      <c r="N23" s="956">
        <f>Application!AC729</f>
        <v>0.3</v>
      </c>
      <c r="O23" s="956">
        <f>IF(Cdlac[[#This Row],[Quantity]]&gt;0,IF(Cdlac[[#This Row],[Federal]],30%,IF(AND(OR(NOT($G$38),$G$38=""),$G$43),40%,Cdlac[[#This Row],[iAMI]])),"")</f>
        <v>0.3</v>
      </c>
      <c r="P23" s="950" cm="1">
        <f t="array" ref="P23">IF(Cdlac[[#This Row],[Quantity]]&gt;0,INDEX(TcacRents,$P$18,Cdlac[[#This Row],[Bedrooms]]+1)*Cdlac[[#This Row],[AMI]],"")</f>
        <v>976.19999999999993</v>
      </c>
      <c r="Q23" s="1046"/>
      <c r="R23" s="950" cm="1">
        <f t="array" ref="R23">IF(Cdlac[[#This Row],[Quantity]]&gt;0,INDEX(HudFmrs,$P$18,Cdlac[[#This Row],[Bedrooms]]+1),"")</f>
        <v>2982</v>
      </c>
      <c r="S23" s="950">
        <f>IF(Cdlac[[#This Row],[Quantity]]&gt;0,MAX(0,Cdlac[[#This Row],[Fair Market Rent]]-IF(AND($G$37,$G$38,$G$38&lt;&gt;"",NOT(Cdlac[[#This Row],[Federal]]),Cdlac[[#This Row],[Preservation Rent]]&lt;&gt;""),Cdlac[[#This Row],[Preservation Rent]],Cdlac[[#This Row],[Restricted Rent]])),"")</f>
        <v>2005.8000000000002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2</v>
      </c>
      <c r="N24" s="956">
        <f>Application!AC730</f>
        <v>0.5</v>
      </c>
      <c r="O24" s="956">
        <f>IF(Cdlac[[#This Row],[Quantity]]&gt;0,IF(Cdlac[[#This Row],[Federal]],30%,IF(AND(OR(NOT($G$38),$G$38=""),$G$43),40%,Cdlac[[#This Row],[iAMI]])),"")</f>
        <v>0.5</v>
      </c>
      <c r="P24" s="950" cm="1">
        <f t="array" ref="P24">IF(Cdlac[[#This Row],[Quantity]]&gt;0,INDEX(TcacRents,$P$18,Cdlac[[#This Row],[Bedrooms]]+1)*Cdlac[[#This Row],[AMI]],"")</f>
        <v>1627</v>
      </c>
      <c r="Q24" s="1046"/>
      <c r="R24" s="950" cm="1">
        <f t="array" ref="R24">IF(Cdlac[[#This Row],[Quantity]]&gt;0,INDEX(HudFmrs,$P$18,Cdlac[[#This Row],[Bedrooms]]+1),"")</f>
        <v>2982</v>
      </c>
      <c r="S24" s="950">
        <f>IF(Cdlac[[#This Row],[Quantity]]&gt;0,MAX(0,Cdlac[[#This Row],[Fair Market Rent]]-IF(AND($G$37,$G$38,$G$38&lt;&gt;"",NOT(Cdlac[[#This Row],[Federal]]),Cdlac[[#This Row],[Preservation Rent]]&lt;&gt;""),Cdlac[[#This Row],[Preservation Rent]],Cdlac[[#This Row],[Restricted Rent]])),"")</f>
        <v>1355</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42</v>
      </c>
      <c r="F25" s="957">
        <f>E25</f>
        <v>42</v>
      </c>
      <c r="G25" s="957">
        <f>D25*F25</f>
        <v>42</v>
      </c>
      <c r="L25" s="929">
        <f>IFERROR(MIN(4,MATCH(Application!B731,UnitSizes,0)-1),"")</f>
        <v>2</v>
      </c>
      <c r="M25" s="950">
        <f>Application!G731</f>
        <v>7</v>
      </c>
      <c r="N25" s="956">
        <f>Application!AC731</f>
        <v>0.6</v>
      </c>
      <c r="O25" s="956">
        <f>IF(Cdlac[[#This Row],[Quantity]]&gt;0,IF(Cdlac[[#This Row],[Federal]],30%,IF(AND(OR(NOT($G$38),$G$38=""),$G$43),40%,Cdlac[[#This Row],[iAMI]])),"")</f>
        <v>0.6</v>
      </c>
      <c r="P25" s="950" cm="1">
        <f t="array" ref="P25">IF(Cdlac[[#This Row],[Quantity]]&gt;0,INDEX(TcacRents,$P$18,Cdlac[[#This Row],[Bedrooms]]+1)*Cdlac[[#This Row],[AMI]],"")</f>
        <v>1952.3999999999999</v>
      </c>
      <c r="Q25" s="1046"/>
      <c r="R25" s="950" cm="1">
        <f t="array" ref="R25">IF(Cdlac[[#This Row],[Quantity]]&gt;0,INDEX(HudFmrs,$P$18,Cdlac[[#This Row],[Bedrooms]]+1),"")</f>
        <v>2982</v>
      </c>
      <c r="S25" s="950">
        <f>IF(Cdlac[[#This Row],[Quantity]]&gt;0,MAX(0,Cdlac[[#This Row],[Fair Market Rent]]-IF(AND($G$37,$G$38,$G$38&lt;&gt;"",NOT(Cdlac[[#This Row],[Federal]]),Cdlac[[#This Row],[Preservation Rent]]&lt;&gt;""),Cdlac[[#This Row],[Preservation Rent]],Cdlac[[#This Row],[Restricted Rent]])),"")</f>
        <v>1029.6000000000001</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31</v>
      </c>
      <c r="F26" s="960">
        <f>SUM(E26:E28)-SUM(F27:F28)</f>
        <v>31</v>
      </c>
      <c r="G26" s="957">
        <f>D26*F26</f>
        <v>38.75</v>
      </c>
      <c r="H26" s="959"/>
      <c r="I26" s="959"/>
      <c r="L26" s="929">
        <f>IFERROR(MIN(4,MATCH(Application!B732,UnitSizes,0)-1),"")</f>
        <v>2</v>
      </c>
      <c r="M26" s="950">
        <f>Application!G732</f>
        <v>7</v>
      </c>
      <c r="N26" s="956">
        <f>Application!AC732</f>
        <v>0.7</v>
      </c>
      <c r="O26" s="956">
        <f>IF(Cdlac[[#This Row],[Quantity]]&gt;0,IF(Cdlac[[#This Row],[Federal]],30%,IF(AND(OR(NOT($G$38),$G$38=""),$G$43),40%,Cdlac[[#This Row],[iAMI]])),"")</f>
        <v>0.7</v>
      </c>
      <c r="P26" s="950" cm="1">
        <f t="array" ref="P26">IF(Cdlac[[#This Row],[Quantity]]&gt;0,INDEX(TcacRents,$P$18,Cdlac[[#This Row],[Bedrooms]]+1)*Cdlac[[#This Row],[AMI]],"")</f>
        <v>2277.7999999999997</v>
      </c>
      <c r="Q26" s="1046"/>
      <c r="R26" s="950" cm="1">
        <f t="array" ref="R26">IF(Cdlac[[#This Row],[Quantity]]&gt;0,INDEX(HudFmrs,$P$18,Cdlac[[#This Row],[Bedrooms]]+1),"")</f>
        <v>2982</v>
      </c>
      <c r="S26" s="950">
        <f>IF(Cdlac[[#This Row],[Quantity]]&gt;0,MAX(0,Cdlac[[#This Row],[Fair Market Rent]]-IF(AND($G$37,$G$38,$G$38&lt;&gt;"",NOT(Cdlac[[#This Row],[Federal]]),Cdlac[[#This Row],[Preservation Rent]]&lt;&gt;""),Cdlac[[#This Row],[Preservation Rent]],Cdlac[[#This Row],[Restricted Rent]])),"")</f>
        <v>704.20000000000027</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26</v>
      </c>
      <c r="F27" s="960">
        <f>MIN(E27,ROUNDDOWN(E29*30%,0))</f>
        <v>26</v>
      </c>
      <c r="G27" s="957">
        <f>D27*F27</f>
        <v>39</v>
      </c>
      <c r="H27" s="959"/>
      <c r="I27" s="959"/>
      <c r="L27" s="929">
        <f>IFERROR(MIN(4,MATCH(Application!B733,UnitSizes,0)-1),"")</f>
        <v>3</v>
      </c>
      <c r="M27" s="950">
        <f>Application!G733</f>
        <v>7</v>
      </c>
      <c r="N27" s="956">
        <f>Application!AC733</f>
        <v>0.3</v>
      </c>
      <c r="O27" s="956">
        <f>IF(Cdlac[[#This Row],[Quantity]]&gt;0,IF(Cdlac[[#This Row],[Federal]],30%,IF(AND(OR(NOT($G$38),$G$38=""),$G$43),40%,Cdlac[[#This Row],[iAMI]])),"")</f>
        <v>0.3</v>
      </c>
      <c r="P27" s="950" cm="1">
        <f t="array" ref="P27">IF(Cdlac[[#This Row],[Quantity]]&gt;0,INDEX(TcacRents,$P$18,Cdlac[[#This Row],[Bedrooms]]+1)*Cdlac[[#This Row],[AMI]],"")</f>
        <v>1128</v>
      </c>
      <c r="Q27" s="1046"/>
      <c r="R27" s="950" cm="1">
        <f t="array" ref="R27">IF(Cdlac[[#This Row],[Quantity]]&gt;0,INDEX(HudFmrs,$P$18,Cdlac[[#This Row],[Bedrooms]]+1),"")</f>
        <v>4025</v>
      </c>
      <c r="S27" s="950">
        <f>IF(Cdlac[[#This Row],[Quantity]]&gt;0,MAX(0,Cdlac[[#This Row],[Fair Market Rent]]-IF(AND($G$37,$G$38,$G$38&lt;&gt;"",NOT(Cdlac[[#This Row],[Federal]]),Cdlac[[#This Row],[Preservation Rent]]&lt;&gt;""),Cdlac[[#This Row],[Preservation Rent]],Cdlac[[#This Row],[Restricted Rent]])),"")</f>
        <v>2897</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1</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5</v>
      </c>
      <c r="N28" s="956">
        <f>Application!AC734</f>
        <v>0.5</v>
      </c>
      <c r="O28" s="956">
        <f>IF(Cdlac[[#This Row],[Quantity]]&gt;0,IF(Cdlac[[#This Row],[Federal]],30%,IF(AND(OR(NOT($G$38),$G$38=""),$G$43),40%,Cdlac[[#This Row],[iAMI]])),"")</f>
        <v>0.5</v>
      </c>
      <c r="P28" s="950" cm="1">
        <f t="array" ref="P28">IF(Cdlac[[#This Row],[Quantity]]&gt;0,INDEX(TcacRents,$P$18,Cdlac[[#This Row],[Bedrooms]]+1)*Cdlac[[#This Row],[AMI]],"")</f>
        <v>1880</v>
      </c>
      <c r="Q28" s="1046"/>
      <c r="R28" s="950" cm="1">
        <f t="array" ref="R28">IF(Cdlac[[#This Row],[Quantity]]&gt;0,INDEX(HudFmrs,$P$18,Cdlac[[#This Row],[Bedrooms]]+1),"")</f>
        <v>4025</v>
      </c>
      <c r="S28" s="950">
        <f>IF(Cdlac[[#This Row],[Quantity]]&gt;0,MAX(0,Cdlac[[#This Row],[Fair Market Rent]]-IF(AND($G$37,$G$38,$G$38&lt;&gt;"",NOT(Cdlac[[#This Row],[Federal]]),Cdlac[[#This Row],[Preservation Rent]]&lt;&gt;""),Cdlac[[#This Row],[Preservation Rent]],Cdlac[[#This Row],[Restricted Rent]])),"")</f>
        <v>2145</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3" t="s">
        <v>1952</v>
      </c>
      <c r="D29" s="2604"/>
      <c r="E29" s="973">
        <f>SUM(E24:E28)</f>
        <v>99</v>
      </c>
      <c r="F29" s="973">
        <f>SUM(F24:F28)</f>
        <v>99</v>
      </c>
      <c r="G29" s="974">
        <f>SUMPRODUCT(D24:D28,F24:F28)</f>
        <v>119.75</v>
      </c>
      <c r="H29" s="959"/>
      <c r="I29" s="959"/>
      <c r="L29" s="929">
        <f>IFERROR(MIN(4,MATCH(Application!B735,UnitSizes,0)-1),"")</f>
        <v>3</v>
      </c>
      <c r="M29" s="950">
        <f>Application!G735</f>
        <v>4</v>
      </c>
      <c r="N29" s="956">
        <f>Application!AC735</f>
        <v>0.6</v>
      </c>
      <c r="O29" s="956">
        <f>IF(Cdlac[[#This Row],[Quantity]]&gt;0,IF(Cdlac[[#This Row],[Federal]],30%,IF(AND(OR(NOT($G$38),$G$38=""),$G$43),40%,Cdlac[[#This Row],[iAMI]])),"")</f>
        <v>0.6</v>
      </c>
      <c r="P29" s="950" cm="1">
        <f t="array" ref="P29">IF(Cdlac[[#This Row],[Quantity]]&gt;0,INDEX(TcacRents,$P$18,Cdlac[[#This Row],[Bedrooms]]+1)*Cdlac[[#This Row],[AMI]],"")</f>
        <v>2256</v>
      </c>
      <c r="Q29" s="1046"/>
      <c r="R29" s="950" cm="1">
        <f t="array" ref="R29">IF(Cdlac[[#This Row],[Quantity]]&gt;0,INDEX(HudFmrs,$P$18,Cdlac[[#This Row],[Bedrooms]]+1),"")</f>
        <v>4025</v>
      </c>
      <c r="S29" s="950">
        <f>IF(Cdlac[[#This Row],[Quantity]]&gt;0,MAX(0,Cdlac[[#This Row],[Fair Market Rent]]-IF(AND($G$37,$G$38,$G$38&lt;&gt;"",NOT(Cdlac[[#This Row],[Federal]]),Cdlac[[#This Row],[Preservation Rent]]&lt;&gt;""),Cdlac[[#This Row],[Preservation Rent]],Cdlac[[#This Row],[Restricted Rent]])),"")</f>
        <v>1769</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6</v>
      </c>
      <c r="N30" s="956">
        <f>Application!AC736</f>
        <v>0.7</v>
      </c>
      <c r="O30" s="956">
        <f>IF(Cdlac[[#This Row],[Quantity]]&gt;0,IF(Cdlac[[#This Row],[Federal]],30%,IF(AND(OR(NOT($G$38),$G$38=""),$G$43),40%,Cdlac[[#This Row],[iAMI]])),"")</f>
        <v>0.7</v>
      </c>
      <c r="P30" s="950" cm="1">
        <f t="array" ref="P30">IF(Cdlac[[#This Row],[Quantity]]&gt;0,INDEX(TcacRents,$P$18,Cdlac[[#This Row],[Bedrooms]]+1)*Cdlac[[#This Row],[AMI]],"")</f>
        <v>2632</v>
      </c>
      <c r="Q30" s="1046"/>
      <c r="R30" s="950" cm="1">
        <f t="array" ref="R30">IF(Cdlac[[#This Row],[Quantity]]&gt;0,INDEX(HudFmrs,$P$18,Cdlac[[#This Row],[Bedrooms]]+1),"")</f>
        <v>4025</v>
      </c>
      <c r="S30" s="950">
        <f>IF(Cdlac[[#This Row],[Quantity]]&gt;0,MAX(0,Cdlac[[#This Row],[Fair Market Rent]]-IF(AND($G$37,$G$38,$G$38&lt;&gt;"",NOT(Cdlac[[#This Row],[Federal]]),Cdlac[[#This Row],[Preservation Rent]]&lt;&gt;""),Cdlac[[#This Row],[Preservation Rent]],Cdlac[[#This Row],[Restricted Rent]])),"")</f>
        <v>1393</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2648</v>
      </c>
      <c r="G31" s="997">
        <f>G29</f>
        <v>119.75</v>
      </c>
      <c r="H31" s="959"/>
      <c r="I31" s="959"/>
      <c r="L31" s="929">
        <f>IFERROR(MIN(4,MATCH(Application!B737,UnitSizes,0)-1),"")</f>
        <v>2</v>
      </c>
      <c r="M31" s="950">
        <f>Application!G737</f>
        <v>2</v>
      </c>
      <c r="N31" s="956">
        <f>Application!AC737</f>
        <v>0.3</v>
      </c>
      <c r="O31" s="956">
        <f>IF(Cdlac[[#This Row],[Quantity]]&gt;0,IF(Cdlac[[#This Row],[Federal]],30%,IF(AND(OR(NOT($G$38),$G$38=""),$G$43),40%,Cdlac[[#This Row],[iAMI]])),"")</f>
        <v>0.3</v>
      </c>
      <c r="P31" s="950" cm="1">
        <f t="array" ref="P31">IF(Cdlac[[#This Row],[Quantity]]&gt;0,INDEX(TcacRents,$P$18,Cdlac[[#This Row],[Bedrooms]]+1)*Cdlac[[#This Row],[AMI]],"")</f>
        <v>976.19999999999993</v>
      </c>
      <c r="Q31" s="1046"/>
      <c r="R31" s="950" cm="1">
        <f t="array" ref="R31">IF(Cdlac[[#This Row],[Quantity]]&gt;0,INDEX(HudFmrs,$P$18,Cdlac[[#This Row],[Bedrooms]]+1),"")</f>
        <v>2982</v>
      </c>
      <c r="S31" s="950">
        <f>IF(Cdlac[[#This Row],[Quantity]]&gt;0,MAX(0,Cdlac[[#This Row],[Fair Market Rent]]-IF(AND($G$37,$G$38,$G$38&lt;&gt;"",NOT(Cdlac[[#This Row],[Federal]]),Cdlac[[#This Row],[Preservation Rent]]&lt;&gt;""),Cdlac[[#This Row],[Preservation Rent]],Cdlac[[#This Row],[Restricted Rent]])),"")</f>
        <v>2005.8000000000002</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1</v>
      </c>
    </row>
    <row r="32" spans="1:21" ht="15" customHeight="1">
      <c r="A32" s="959"/>
      <c r="E32" s="1000" t="s">
        <v>2649</v>
      </c>
      <c r="F32" s="996" t="s">
        <v>2650</v>
      </c>
      <c r="G32" s="998">
        <v>50000</v>
      </c>
      <c r="H32" s="959"/>
      <c r="I32" s="959"/>
      <c r="L32" s="929">
        <f>IFERROR(MIN(4,MATCH(Application!B738,UnitSizes,0)-1),"")</f>
        <v>3</v>
      </c>
      <c r="M32" s="950">
        <f>Application!G738</f>
        <v>4</v>
      </c>
      <c r="N32" s="956">
        <f>Application!AC738</f>
        <v>0.3</v>
      </c>
      <c r="O32" s="956">
        <f>IF(Cdlac[[#This Row],[Quantity]]&gt;0,IF(Cdlac[[#This Row],[Federal]],30%,IF(AND(OR(NOT($G$38),$G$38=""),$G$43),40%,Cdlac[[#This Row],[iAMI]])),"")</f>
        <v>0.3</v>
      </c>
      <c r="P32" s="950" cm="1">
        <f t="array" ref="P32">IF(Cdlac[[#This Row],[Quantity]]&gt;0,INDEX(TcacRents,$P$18,Cdlac[[#This Row],[Bedrooms]]+1)*Cdlac[[#This Row],[AMI]],"")</f>
        <v>1128</v>
      </c>
      <c r="Q32" s="1046"/>
      <c r="R32" s="950" cm="1">
        <f t="array" ref="R32">IF(Cdlac[[#This Row],[Quantity]]&gt;0,INDEX(HudFmrs,$P$18,Cdlac[[#This Row],[Bedrooms]]+1),"")</f>
        <v>4025</v>
      </c>
      <c r="S32" s="950">
        <f>IF(Cdlac[[#This Row],[Quantity]]&gt;0,MAX(0,Cdlac[[#This Row],[Fair Market Rent]]-IF(AND($G$37,$G$38,$G$38&lt;&gt;"",NOT(Cdlac[[#This Row],[Federal]]),Cdlac[[#This Row],[Preservation Rent]]&lt;&gt;""),Cdlac[[#This Row],[Preservation Rent]],Cdlac[[#This Row],[Restricted Rent]])),"")</f>
        <v>2897</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0</v>
      </c>
    </row>
    <row r="33" spans="1:21" ht="15" customHeight="1">
      <c r="A33" s="959"/>
      <c r="E33" s="1001" t="s">
        <v>2651</v>
      </c>
      <c r="F33" s="931"/>
      <c r="G33" s="1002">
        <f>G32*G31</f>
        <v>5987500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2652</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2653</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6" t="str">
        <f>IF(AND(G37,G38,G38&lt;&gt;""),"Enter the average rent charged for each unit type over the last three years, as documented with rent rolls or property audits, in cells Q20:Q44","")</f>
        <v/>
      </c>
      <c r="D39" s="2606"/>
      <c r="E39" s="2606"/>
      <c r="F39" s="2606"/>
      <c r="G39" s="2606"/>
      <c r="H39" s="2606"/>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6"/>
      <c r="D40" s="2606"/>
      <c r="E40" s="2606"/>
      <c r="F40" s="2606"/>
      <c r="G40" s="2606"/>
      <c r="H40" s="2606"/>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6"/>
      <c r="D41" s="2606"/>
      <c r="E41" s="2606"/>
      <c r="F41" s="2606"/>
      <c r="G41" s="2606"/>
      <c r="H41" s="2606"/>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2654</v>
      </c>
      <c r="G42" s="1003" cm="1">
        <f t="array" ref="G42">SUMPRODUCT(Cdlac[Quantity],Cdlac[iAMI],IF(Cdlac[Federal],0,1))/SUMIFS(Cdlac[Quantity],Cdlac[Federal],FALSE)</f>
        <v>0.48472222222222222</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2655</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2656</v>
      </c>
      <c r="G45" s="963">
        <f>IFERROR(SUMPRODUCT(Cdlac[Quantity],Cdlac[Delta]),0)</f>
        <v>163717.6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2657</v>
      </c>
      <c r="F46" s="996" t="s">
        <v>2650</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2658</v>
      </c>
      <c r="F47" s="931"/>
      <c r="G47" s="1006">
        <f>G45*G46</f>
        <v>29469168</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2659</v>
      </c>
      <c r="G51" s="964">
        <f>SUMIFS(Cdlac[Quantity],Cdlac[iAMI],"&lt;=30%")</f>
        <v>51</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2660</v>
      </c>
      <c r="G52" s="964">
        <f>ROUNDDOWN(E29*50%,0)</f>
        <v>49</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2661</v>
      </c>
      <c r="G54" s="997">
        <f>MIN(G51:G52)</f>
        <v>49</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2649</v>
      </c>
      <c r="F55" s="996" t="s">
        <v>2650</v>
      </c>
      <c r="G55" s="1007">
        <v>20000</v>
      </c>
      <c r="M55" s="950"/>
      <c r="N55" s="956"/>
      <c r="O55" s="956"/>
      <c r="P55" s="950"/>
      <c r="Q55" s="1046"/>
      <c r="R55" s="950"/>
      <c r="S55" s="950"/>
    </row>
    <row r="56" spans="2:21" ht="15" customHeight="1">
      <c r="E56" s="1001" t="s">
        <v>2662</v>
      </c>
      <c r="F56" s="931"/>
      <c r="G56" s="1006">
        <f>G54*G55</f>
        <v>980000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2663</v>
      </c>
      <c r="G60" s="1091">
        <f>T18</f>
        <v>35</v>
      </c>
    </row>
    <row r="61" spans="2:21" ht="15" customHeight="1">
      <c r="E61" s="1000" t="s">
        <v>2660</v>
      </c>
      <c r="G61" s="997">
        <f>ROUNDDOWN(E29*50%,0)</f>
        <v>49</v>
      </c>
    </row>
    <row r="62" spans="2:21" ht="15" customHeight="1">
      <c r="E62" s="1000"/>
      <c r="G62" s="1008"/>
    </row>
    <row r="63" spans="2:21" ht="15" customHeight="1">
      <c r="E63" s="1000" t="s">
        <v>2661</v>
      </c>
      <c r="G63" s="997">
        <f>MIN(G60:G61)</f>
        <v>35</v>
      </c>
    </row>
    <row r="64" spans="2:21" ht="15" customHeight="1">
      <c r="E64" s="1000" t="s">
        <v>2649</v>
      </c>
      <c r="F64" s="996" t="s">
        <v>2650</v>
      </c>
      <c r="G64" s="1007">
        <v>10000</v>
      </c>
    </row>
    <row r="65" spans="5:7" ht="15" customHeight="1">
      <c r="E65" s="1001" t="s">
        <v>2664</v>
      </c>
      <c r="F65" s="931"/>
      <c r="G65" s="1006">
        <f>G63*G64</f>
        <v>350000</v>
      </c>
    </row>
    <row r="66" spans="5:7" ht="15" customHeight="1">
      <c r="E66" s="1001"/>
      <c r="F66" s="931"/>
      <c r="G66" s="1006"/>
    </row>
    <row r="67" spans="5:7" ht="15" customHeight="1">
      <c r="E67" s="969" t="s">
        <v>2665</v>
      </c>
      <c r="G67" s="929" t="b">
        <f>Application!V227="Yes"</f>
        <v>0</v>
      </c>
    </row>
    <row r="68" spans="5:7" ht="15" customHeight="1">
      <c r="E68" s="969" t="s">
        <v>2666</v>
      </c>
      <c r="G68" s="1091">
        <f>SUMIF(Application!AK726:AK760,"Homeless",Application!G726:G760)</f>
        <v>0</v>
      </c>
    </row>
    <row r="69" spans="5:7" ht="15" customHeight="1">
      <c r="E69" s="969"/>
    </row>
    <row r="70" spans="5:7" ht="15" customHeight="1">
      <c r="E70" s="969" t="s">
        <v>2667</v>
      </c>
      <c r="G70" s="1092"/>
    </row>
    <row r="71" spans="5:7" ht="15" customHeight="1">
      <c r="E71" s="969" t="s">
        <v>2668</v>
      </c>
      <c r="G71" s="1092"/>
    </row>
    <row r="72" spans="5:7" ht="15" customHeight="1">
      <c r="E72" s="969" t="s">
        <v>2669</v>
      </c>
      <c r="G72" s="1091">
        <f>IF(G71=0,0,(G70/G71)*100000)</f>
        <v>0</v>
      </c>
    </row>
    <row r="73" spans="5:7" ht="15" customHeight="1">
      <c r="E73" s="969" t="s">
        <v>2670</v>
      </c>
      <c r="G73" s="1092"/>
    </row>
    <row r="74" spans="5:7" ht="15" customHeight="1">
      <c r="E74" s="969" t="s">
        <v>2671</v>
      </c>
      <c r="G74" s="1092"/>
    </row>
    <row r="75" spans="5:7" ht="15" customHeight="1">
      <c r="E75" s="969" t="s">
        <v>2672</v>
      </c>
      <c r="G75" s="1091">
        <f>IF(G74=0,0,(G73/G74)*100000)</f>
        <v>0</v>
      </c>
    </row>
    <row r="76" spans="5:7" ht="15" customHeight="1">
      <c r="E76" s="1001"/>
      <c r="F76" s="931"/>
      <c r="G76" s="1006"/>
    </row>
    <row r="77" spans="5:7" ht="15" customHeight="1">
      <c r="E77" s="1000" t="s">
        <v>2661</v>
      </c>
      <c r="G77" s="997">
        <f>IF(OR(G75&gt;G72,G71&lt;100000),G75*G68,G72*G68)</f>
        <v>0</v>
      </c>
    </row>
    <row r="78" spans="5:7" ht="15" customHeight="1">
      <c r="E78" s="1000" t="s">
        <v>2649</v>
      </c>
      <c r="F78" s="996" t="s">
        <v>2650</v>
      </c>
      <c r="G78" s="1007">
        <v>100</v>
      </c>
    </row>
    <row r="79" spans="5:7" ht="15" customHeight="1">
      <c r="E79" s="1001" t="s">
        <v>2664</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2673</v>
      </c>
      <c r="G83" s="928" t="s">
        <v>862</v>
      </c>
      <c r="L83" s="2575" t="s">
        <v>896</v>
      </c>
      <c r="M83" s="2576"/>
      <c r="N83" s="1014">
        <v>30000</v>
      </c>
    </row>
    <row r="84" spans="2:14" ht="15" customHeight="1">
      <c r="C84" s="962" t="s">
        <v>2674</v>
      </c>
      <c r="G84" s="966" t="str">
        <f>IF(Application!D211="Large Family","Yes","No")</f>
        <v>Yes</v>
      </c>
      <c r="L84" s="2579" t="s">
        <v>900</v>
      </c>
      <c r="M84" s="2580"/>
      <c r="N84" s="1015">
        <v>20000</v>
      </c>
    </row>
    <row r="85" spans="2:14" ht="15" customHeight="1" thickBot="1">
      <c r="C85" s="962" t="s">
        <v>2675</v>
      </c>
      <c r="G85" s="928" t="s">
        <v>701</v>
      </c>
      <c r="L85" s="2581" t="s">
        <v>907</v>
      </c>
      <c r="M85" s="2582"/>
      <c r="N85" s="1016">
        <v>10000</v>
      </c>
    </row>
    <row r="86" spans="2:14" ht="15" customHeight="1" thickBot="1">
      <c r="C86" s="962" t="s">
        <v>2676</v>
      </c>
      <c r="G86" s="929" t="str">
        <f>Application!T193</f>
        <v>Low Resource</v>
      </c>
    </row>
    <row r="87" spans="2:14" ht="15" customHeight="1">
      <c r="C87" s="2609" t="s">
        <v>2677</v>
      </c>
      <c r="D87" s="2609"/>
      <c r="E87" s="2609"/>
      <c r="F87" s="2609"/>
      <c r="G87" s="928" t="s">
        <v>701</v>
      </c>
      <c r="L87" s="1010" t="str">
        <f>'Points System'!H651</f>
        <v>(i)</v>
      </c>
      <c r="M87" s="2577" t="s">
        <v>2524</v>
      </c>
      <c r="N87" s="2578"/>
    </row>
    <row r="88" spans="2:14" ht="15" customHeight="1">
      <c r="C88" s="2609"/>
      <c r="D88" s="2609"/>
      <c r="E88" s="2609"/>
      <c r="F88" s="2609"/>
      <c r="L88" s="1011" t="str">
        <f>'Points System'!H663</f>
        <v>(ii)</v>
      </c>
      <c r="M88" s="2569" t="s">
        <v>2678</v>
      </c>
      <c r="N88" s="2570"/>
    </row>
    <row r="89" spans="2:14" ht="15" customHeight="1">
      <c r="C89" s="962"/>
      <c r="L89" s="1011" t="str">
        <f>'Points System'!H698</f>
        <v>(i)</v>
      </c>
      <c r="M89" s="2569" t="s">
        <v>2679</v>
      </c>
      <c r="N89" s="2570"/>
    </row>
    <row r="90" spans="2:14" ht="15" customHeight="1">
      <c r="E90" s="969" t="s">
        <v>2680</v>
      </c>
      <c r="G90" s="964" t="b">
        <f>OR(AND(COUNTIFS(G84:G85,"Yes")&gt;=1,G83="Yes"),G87="Yes")</f>
        <v>1</v>
      </c>
      <c r="L90" s="1011" t="str">
        <f>IF(OR('Points System'!H722="(ii)",'Points System'!H722="(i)"),"(i)","N/A")</f>
        <v>(i)</v>
      </c>
      <c r="M90" s="2569" t="s">
        <v>2681</v>
      </c>
      <c r="N90" s="2570"/>
    </row>
    <row r="91" spans="2:14" ht="15" customHeight="1">
      <c r="E91" s="969"/>
      <c r="G91" s="964"/>
      <c r="L91" s="1012" t="str">
        <f>'Points System'!H736</f>
        <v>N/A</v>
      </c>
      <c r="M91" s="2569" t="s">
        <v>2565</v>
      </c>
      <c r="N91" s="2570"/>
    </row>
    <row r="92" spans="2:14" ht="15" customHeight="1">
      <c r="E92" s="969" t="s">
        <v>2649</v>
      </c>
      <c r="G92" s="963">
        <f>IFERROR(IF($G$87="Yes",30000,INDEX(N83:N85,MATCH(LEFT(G86,17),L83:L85,0))),0)</f>
        <v>0</v>
      </c>
      <c r="L92" s="1011" t="str">
        <f>'Points System'!H748</f>
        <v>N/A</v>
      </c>
      <c r="M92" s="2569" t="s">
        <v>2682</v>
      </c>
      <c r="N92" s="2570"/>
    </row>
    <row r="93" spans="2:14" ht="15" customHeight="1">
      <c r="E93" s="969" t="str">
        <f>E110</f>
        <v>Bedroom-Adjusted Low-Income Units</v>
      </c>
      <c r="F93" s="996" t="s">
        <v>2650</v>
      </c>
      <c r="G93" s="997">
        <f>G29</f>
        <v>119.75</v>
      </c>
      <c r="L93" s="1011" t="str">
        <f>'Points System'!H764</f>
        <v>(i)</v>
      </c>
      <c r="M93" s="2569" t="s">
        <v>2683</v>
      </c>
      <c r="N93" s="2570"/>
    </row>
    <row r="94" spans="2:14" ht="15" customHeight="1" thickBot="1">
      <c r="D94" s="931"/>
      <c r="E94" s="1001" t="s">
        <v>2684</v>
      </c>
      <c r="F94" s="931"/>
      <c r="G94" s="1006">
        <f>G93*G92*G90</f>
        <v>0</v>
      </c>
      <c r="L94" s="1013" t="str">
        <f>'Points System'!H776</f>
        <v>(i)</v>
      </c>
      <c r="M94" s="2571" t="s">
        <v>2569</v>
      </c>
      <c r="N94" s="2572"/>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2685</v>
      </c>
      <c r="G98" s="928" t="s">
        <v>701</v>
      </c>
    </row>
    <row r="99" spans="2:9" ht="15" customHeight="1">
      <c r="F99" s="999"/>
    </row>
    <row r="100" spans="2:9" ht="15" customHeight="1">
      <c r="E100" s="969" t="s">
        <v>2680</v>
      </c>
      <c r="G100" s="964" t="b">
        <f>G98="Yes"</f>
        <v>0</v>
      </c>
    </row>
    <row r="101" spans="2:9" ht="15" customHeight="1"/>
    <row r="102" spans="2:9" ht="15" customHeight="1">
      <c r="E102" s="969" t="str">
        <f>E110</f>
        <v>Bedroom-Adjusted Low-Income Units</v>
      </c>
      <c r="G102" s="997">
        <f>G29</f>
        <v>119.75</v>
      </c>
    </row>
    <row r="103" spans="2:9" ht="15" customHeight="1">
      <c r="E103" s="969" t="s">
        <v>2649</v>
      </c>
      <c r="F103" s="996" t="s">
        <v>2650</v>
      </c>
      <c r="G103" s="935">
        <v>20000</v>
      </c>
    </row>
    <row r="104" spans="2:9" ht="15" customHeight="1">
      <c r="E104" s="1001" t="s">
        <v>2686</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2687</v>
      </c>
      <c r="G108" s="997">
        <f>VLOOKUP('Points System'!$H$619,'Points System'!$AO$599:$AP$604,2,FALSE)</f>
        <v>6</v>
      </c>
    </row>
    <row r="109" spans="2:9" ht="15" customHeight="1">
      <c r="E109" s="969" t="s">
        <v>2649</v>
      </c>
      <c r="F109" s="996" t="s">
        <v>2650</v>
      </c>
      <c r="G109" s="961">
        <v>4000</v>
      </c>
    </row>
    <row r="110" spans="2:9" ht="15" customHeight="1">
      <c r="E110" s="969" t="s">
        <v>2688</v>
      </c>
      <c r="F110" s="996" t="s">
        <v>2650</v>
      </c>
      <c r="G110" s="1009">
        <f>G29</f>
        <v>119.75</v>
      </c>
    </row>
    <row r="111" spans="2:9" ht="15" customHeight="1">
      <c r="E111" s="1001" t="s">
        <v>2689</v>
      </c>
      <c r="F111" s="931"/>
      <c r="G111" s="1006">
        <f>G108*G109*G110</f>
        <v>2874000</v>
      </c>
    </row>
    <row r="112" spans="2:9" ht="15" customHeight="1">
      <c r="C112" s="962"/>
      <c r="G112" s="997"/>
    </row>
    <row r="113" spans="2:7" ht="15" customHeight="1">
      <c r="E113" s="969" t="s">
        <v>2690</v>
      </c>
      <c r="G113" s="997">
        <f>COUNTIFS(L87:L94,"(i)")</f>
        <v>5</v>
      </c>
    </row>
    <row r="114" spans="2:7" ht="15" customHeight="1">
      <c r="E114" s="969" t="s">
        <v>2649</v>
      </c>
      <c r="F114" s="996" t="s">
        <v>2650</v>
      </c>
      <c r="G114" s="1007">
        <v>4000</v>
      </c>
    </row>
    <row r="115" spans="2:7" ht="15" customHeight="1">
      <c r="E115" s="1001" t="s">
        <v>2691</v>
      </c>
      <c r="F115" s="931"/>
      <c r="G115" s="1006">
        <f>G110*G113*G114</f>
        <v>2395000</v>
      </c>
    </row>
    <row r="116" spans="2:7" ht="15" customHeight="1"/>
    <row r="117" spans="2:7" ht="15" customHeight="1">
      <c r="C117" s="965" t="s">
        <v>2692</v>
      </c>
    </row>
    <row r="118" spans="2:7" ht="15" customHeight="1">
      <c r="C118" s="962" t="s">
        <v>2693</v>
      </c>
      <c r="G118" s="928"/>
    </row>
    <row r="119" spans="2:7" ht="15" customHeight="1">
      <c r="C119" s="962" t="s">
        <v>2694</v>
      </c>
      <c r="G119" s="928"/>
    </row>
    <row r="120" spans="2:7" ht="15" customHeight="1">
      <c r="C120" s="962" t="s">
        <v>2695</v>
      </c>
      <c r="G120" s="928" t="s">
        <v>862</v>
      </c>
    </row>
    <row r="121" spans="2:7">
      <c r="C121" s="962" t="s">
        <v>2696</v>
      </c>
      <c r="G121" s="928"/>
    </row>
    <row r="123" spans="2:7">
      <c r="B123" s="963"/>
      <c r="C123" s="962"/>
      <c r="E123" s="969" t="s">
        <v>2680</v>
      </c>
      <c r="G123" s="964" t="b">
        <f>COUNTIFS(G118:G121,"Yes")&gt;=1</f>
        <v>1</v>
      </c>
    </row>
    <row r="124" spans="2:7">
      <c r="E124" s="962"/>
    </row>
    <row r="125" spans="2:7" ht="15">
      <c r="E125" s="969" t="s">
        <v>2688</v>
      </c>
      <c r="F125" s="996" t="s">
        <v>2650</v>
      </c>
      <c r="G125" s="997">
        <f>G29</f>
        <v>119.75</v>
      </c>
    </row>
    <row r="126" spans="2:7" ht="15">
      <c r="E126" s="969" t="s">
        <v>2649</v>
      </c>
      <c r="F126" s="996" t="s">
        <v>2650</v>
      </c>
      <c r="G126" s="1007">
        <v>25000</v>
      </c>
    </row>
    <row r="127" spans="2:7" ht="15">
      <c r="E127" s="1001" t="s">
        <v>2697</v>
      </c>
      <c r="F127" s="931"/>
      <c r="G127" s="1006">
        <f>G123*G126*G110</f>
        <v>2993750</v>
      </c>
    </row>
    <row r="128" spans="2:7">
      <c r="C128" s="962"/>
      <c r="E128" s="962"/>
    </row>
    <row r="129" spans="2:9" ht="15">
      <c r="E129" s="1001" t="s">
        <v>2698</v>
      </c>
      <c r="G129" s="1006">
        <f>G127+G115+G111</f>
        <v>8262750</v>
      </c>
    </row>
    <row r="131" spans="2:9" ht="15">
      <c r="B131" s="951" t="s">
        <v>1807</v>
      </c>
      <c r="C131" s="952"/>
      <c r="D131" s="952"/>
      <c r="E131" s="952"/>
      <c r="F131" s="952"/>
      <c r="G131" s="952"/>
      <c r="H131" s="952"/>
      <c r="I131" s="953"/>
    </row>
    <row r="133" spans="2:9">
      <c r="C133" s="2605" t="s">
        <v>2699</v>
      </c>
      <c r="D133" s="2605"/>
      <c r="E133" s="2605"/>
      <c r="F133" s="2605"/>
    </row>
    <row r="134" spans="2:9">
      <c r="C134" s="2605"/>
      <c r="D134" s="2605"/>
      <c r="E134" s="2605"/>
      <c r="F134" s="2605"/>
      <c r="G134" s="928" t="s">
        <v>862</v>
      </c>
    </row>
    <row r="135" spans="2:9" ht="14.25" customHeight="1"/>
    <row r="136" spans="2:9">
      <c r="C136" s="929" t="s">
        <v>2700</v>
      </c>
      <c r="G136" s="2607" t="s">
        <v>2701</v>
      </c>
      <c r="H136" s="2607"/>
    </row>
    <row r="137" spans="2:9">
      <c r="G137" s="2607"/>
      <c r="H137" s="2607"/>
    </row>
    <row r="138" spans="2:9">
      <c r="G138" s="2608"/>
      <c r="H138" s="2608"/>
    </row>
    <row r="140" spans="2:9">
      <c r="C140" s="2605" t="s">
        <v>2702</v>
      </c>
      <c r="D140" s="2605"/>
      <c r="E140" s="2605"/>
      <c r="F140" s="2605"/>
    </row>
    <row r="141" spans="2:9">
      <c r="C141" s="2605"/>
      <c r="D141" s="2605"/>
      <c r="E141" s="2605"/>
      <c r="F141" s="2605"/>
      <c r="G141" s="928"/>
    </row>
    <row r="142" spans="2:9">
      <c r="C142" s="2605"/>
      <c r="D142" s="2605"/>
      <c r="E142" s="2605"/>
      <c r="F142" s="2605"/>
    </row>
    <row r="144" spans="2:9">
      <c r="C144" s="2605" t="s">
        <v>2703</v>
      </c>
      <c r="D144" s="2605"/>
      <c r="E144" s="2605"/>
      <c r="F144" s="2605"/>
    </row>
    <row r="145" spans="2:9">
      <c r="C145" s="2605"/>
      <c r="D145" s="2605"/>
      <c r="E145" s="2605"/>
      <c r="F145" s="2605"/>
      <c r="G145" s="928"/>
    </row>
    <row r="146" spans="2:9">
      <c r="C146" s="2605"/>
      <c r="D146" s="2605"/>
      <c r="E146" s="2605"/>
      <c r="F146" s="2605"/>
    </row>
    <row r="147" spans="2:9">
      <c r="C147" s="2605"/>
      <c r="D147" s="2605"/>
      <c r="E147" s="2605"/>
      <c r="F147" s="2605"/>
    </row>
    <row r="149" spans="2:9" ht="15">
      <c r="B149" s="951" t="s">
        <v>2704</v>
      </c>
      <c r="C149" s="952"/>
      <c r="D149" s="952"/>
      <c r="E149" s="952"/>
      <c r="F149" s="952"/>
      <c r="G149" s="952"/>
      <c r="H149" s="952"/>
      <c r="I149" s="953"/>
    </row>
    <row r="151" spans="2:9">
      <c r="E151" s="969" t="s">
        <v>949</v>
      </c>
      <c r="G151" s="929" t="str">
        <f>IF(Application!T189="","",Application!T189)</f>
        <v>Monterey</v>
      </c>
    </row>
    <row r="152" spans="2:9">
      <c r="E152" s="969"/>
      <c r="G152" s="963"/>
    </row>
    <row r="153" spans="2:9">
      <c r="E153" s="969" t="str">
        <f>"2-Bedroom "&amp;G151&amp;" County Basis Limit"</f>
        <v>2-Bedroom Monterey County Basis Limit</v>
      </c>
      <c r="G153" s="963">
        <f>Application!R997</f>
        <v>616000</v>
      </c>
    </row>
    <row r="154" spans="2:9">
      <c r="E154" s="969" t="s">
        <v>2705</v>
      </c>
      <c r="G154" s="963">
        <f>MEDIAN((Application!CU160:CU217))</f>
        <v>560000</v>
      </c>
    </row>
    <row r="155" spans="2:9" ht="15">
      <c r="D155" s="931"/>
      <c r="E155" s="1001" t="s">
        <v>2706</v>
      </c>
      <c r="F155" s="1017"/>
      <c r="G155" s="1018">
        <f>((G153-G154)/G154)*0.25</f>
        <v>2.5000000000000001E-2</v>
      </c>
      <c r="H155" s="927"/>
      <c r="I155" s="927"/>
    </row>
    <row r="156" spans="2:9">
      <c r="D156" s="930"/>
      <c r="E156" s="930"/>
    </row>
    <row r="157" spans="2:9" ht="15">
      <c r="B157" s="951" t="s">
        <v>2707</v>
      </c>
      <c r="C157" s="952"/>
      <c r="D157" s="952"/>
      <c r="E157" s="952"/>
      <c r="F157" s="952"/>
      <c r="G157" s="952"/>
      <c r="H157" s="952"/>
      <c r="I157" s="953"/>
    </row>
    <row r="159" spans="2:9">
      <c r="E159" s="969" t="s">
        <v>2652</v>
      </c>
      <c r="G159" s="929" t="b">
        <f>G37</f>
        <v>0</v>
      </c>
    </row>
    <row r="160" spans="2:9">
      <c r="C160" s="2602" t="s">
        <v>2708</v>
      </c>
      <c r="D160" s="2602"/>
      <c r="E160" s="2602"/>
      <c r="F160" s="2602"/>
    </row>
    <row r="161" spans="2:7">
      <c r="B161" s="930"/>
      <c r="C161" s="2602"/>
      <c r="D161" s="2602"/>
      <c r="E161" s="2602"/>
      <c r="F161" s="2602"/>
      <c r="G161" s="928"/>
    </row>
    <row r="162" spans="2:7">
      <c r="B162" s="930"/>
      <c r="C162" s="930"/>
      <c r="D162" s="930"/>
      <c r="E162" s="930"/>
      <c r="F162" s="930"/>
    </row>
    <row r="163" spans="2:7">
      <c r="E163" s="969" t="s">
        <v>2709</v>
      </c>
      <c r="G163" s="1051"/>
    </row>
    <row r="165" spans="2:7">
      <c r="E165" s="969" t="s">
        <v>2710</v>
      </c>
      <c r="G165" s="1050">
        <f>IF(I9=0,0,G163/I9)</f>
        <v>0</v>
      </c>
    </row>
    <row r="166" spans="2:7">
      <c r="E166" s="969" t="s">
        <v>2711</v>
      </c>
      <c r="G166" s="1048">
        <f>I9*0.15</f>
        <v>3199851.2048431817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2" sqref="F12"/>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0" t="s">
        <v>2712</v>
      </c>
      <c r="B1" s="2610"/>
      <c r="C1" s="2610"/>
      <c r="D1" s="2610"/>
      <c r="E1" s="2610"/>
      <c r="F1" s="2610"/>
      <c r="G1" s="2610"/>
      <c r="H1" s="2610"/>
      <c r="I1" s="2610"/>
      <c r="J1" s="2610"/>
      <c r="K1" s="136"/>
      <c r="L1" s="136"/>
    </row>
    <row r="2" spans="1:12">
      <c r="A2" s="140"/>
      <c r="B2" s="140"/>
      <c r="C2" s="140"/>
      <c r="D2" s="140"/>
      <c r="E2" s="140"/>
      <c r="F2" s="140"/>
      <c r="G2" s="140"/>
      <c r="H2" s="140"/>
      <c r="I2" s="140"/>
      <c r="J2" s="140"/>
    </row>
    <row r="3" spans="1:12" ht="100.5">
      <c r="A3" s="329" t="s">
        <v>2713</v>
      </c>
      <c r="B3" s="329" t="s">
        <v>2714</v>
      </c>
      <c r="C3" s="329" t="s">
        <v>2715</v>
      </c>
      <c r="D3" s="1029" t="s">
        <v>2716</v>
      </c>
      <c r="E3" s="136"/>
      <c r="F3" s="1029" t="s">
        <v>2717</v>
      </c>
      <c r="G3" s="329" t="s">
        <v>2718</v>
      </c>
      <c r="H3" s="330"/>
      <c r="I3" s="329" t="s">
        <v>2719</v>
      </c>
      <c r="J3" s="329" t="s">
        <v>2720</v>
      </c>
      <c r="K3" s="136"/>
      <c r="L3" s="212"/>
    </row>
    <row r="4" spans="1:12">
      <c r="A4" s="331" t="str">
        <f>Application!B726</f>
        <v>1 Bedroom</v>
      </c>
      <c r="B4" s="967">
        <f>Application!G726</f>
        <v>18</v>
      </c>
      <c r="C4" s="1044" t="s">
        <v>1012</v>
      </c>
      <c r="D4" s="331">
        <f>Application!O726</f>
        <v>795</v>
      </c>
      <c r="E4" s="332"/>
      <c r="F4" s="1152">
        <f>2232-18</f>
        <v>2214</v>
      </c>
      <c r="G4" s="331">
        <f>F4*B4</f>
        <v>39852</v>
      </c>
      <c r="H4" s="332"/>
      <c r="I4" s="331">
        <f t="shared" ref="I4:I27" si="0">IF(F4=0,"",(F4-D4))</f>
        <v>1419</v>
      </c>
      <c r="J4" s="331">
        <f t="shared" ref="J4:J27" si="1">IF(F4=0,"",(I4*B4))</f>
        <v>25542</v>
      </c>
      <c r="K4" s="136"/>
      <c r="L4" s="212"/>
    </row>
    <row r="5" spans="1:12">
      <c r="A5" s="331" t="str">
        <f>Application!B727</f>
        <v>1 Bedroom</v>
      </c>
      <c r="B5" s="967">
        <f>Application!G727</f>
        <v>7</v>
      </c>
      <c r="C5" s="1044"/>
      <c r="D5" s="331">
        <f>Application!O727</f>
        <v>795</v>
      </c>
      <c r="E5" s="332"/>
      <c r="F5" s="1152"/>
      <c r="G5" s="331">
        <f t="shared" ref="G5:G38" si="2">F5*B5</f>
        <v>0</v>
      </c>
      <c r="H5" s="332"/>
      <c r="I5" s="331" t="str">
        <f t="shared" si="0"/>
        <v/>
      </c>
      <c r="J5" s="331" t="str">
        <f t="shared" si="1"/>
        <v/>
      </c>
      <c r="K5" s="136"/>
      <c r="L5" s="212"/>
    </row>
    <row r="6" spans="1:12">
      <c r="A6" s="331" t="str">
        <f>Application!B728</f>
        <v>1 Bedroom</v>
      </c>
      <c r="B6" s="967">
        <f>Application!G728</f>
        <v>17</v>
      </c>
      <c r="C6" s="1044"/>
      <c r="D6" s="331">
        <f>Application!O728</f>
        <v>1337</v>
      </c>
      <c r="E6" s="332"/>
      <c r="F6" s="1152"/>
      <c r="G6" s="331">
        <f t="shared" si="2"/>
        <v>0</v>
      </c>
      <c r="H6" s="332"/>
      <c r="I6" s="331" t="str">
        <f t="shared" si="0"/>
        <v/>
      </c>
      <c r="J6" s="331" t="str">
        <f t="shared" si="1"/>
        <v/>
      </c>
      <c r="K6" s="136"/>
      <c r="L6" s="212"/>
    </row>
    <row r="7" spans="1:12">
      <c r="A7" s="331" t="str">
        <f>Application!B729</f>
        <v>2 Bedrooms</v>
      </c>
      <c r="B7" s="967">
        <f>Application!G729</f>
        <v>13</v>
      </c>
      <c r="C7" s="1044"/>
      <c r="D7" s="331">
        <f>Application!O729</f>
        <v>955</v>
      </c>
      <c r="E7" s="332"/>
      <c r="F7" s="1152"/>
      <c r="G7" s="331">
        <f t="shared" si="2"/>
        <v>0</v>
      </c>
      <c r="H7" s="332"/>
      <c r="I7" s="331" t="str">
        <f t="shared" si="0"/>
        <v/>
      </c>
      <c r="J7" s="331" t="str">
        <f t="shared" si="1"/>
        <v/>
      </c>
      <c r="K7" s="136"/>
      <c r="L7" s="212"/>
    </row>
    <row r="8" spans="1:12">
      <c r="A8" s="331" t="str">
        <f>Application!B730</f>
        <v>2 Bedrooms</v>
      </c>
      <c r="B8" s="967">
        <f>Application!G730</f>
        <v>2</v>
      </c>
      <c r="C8" s="1044"/>
      <c r="D8" s="331">
        <f>Application!O730</f>
        <v>1606</v>
      </c>
      <c r="E8" s="332"/>
      <c r="F8" s="1152"/>
      <c r="G8" s="331">
        <f t="shared" si="2"/>
        <v>0</v>
      </c>
      <c r="H8" s="332"/>
      <c r="I8" s="331" t="str">
        <f t="shared" si="0"/>
        <v/>
      </c>
      <c r="J8" s="331" t="str">
        <f t="shared" si="1"/>
        <v/>
      </c>
      <c r="K8" s="136"/>
      <c r="L8" s="212"/>
    </row>
    <row r="9" spans="1:12">
      <c r="A9" s="331" t="str">
        <f>Application!B731</f>
        <v>2 Bedrooms</v>
      </c>
      <c r="B9" s="967">
        <f>Application!G731</f>
        <v>7</v>
      </c>
      <c r="C9" s="1044"/>
      <c r="D9" s="331">
        <f>Application!O731</f>
        <v>1932</v>
      </c>
      <c r="E9" s="332"/>
      <c r="F9" s="1152"/>
      <c r="G9" s="331">
        <f t="shared" si="2"/>
        <v>0</v>
      </c>
      <c r="H9" s="332"/>
      <c r="I9" s="331" t="str">
        <f t="shared" si="0"/>
        <v/>
      </c>
      <c r="J9" s="331" t="str">
        <f t="shared" si="1"/>
        <v/>
      </c>
      <c r="K9" s="136"/>
      <c r="L9" s="212"/>
    </row>
    <row r="10" spans="1:12">
      <c r="A10" s="331" t="str">
        <f>Application!B732</f>
        <v>2 Bedrooms</v>
      </c>
      <c r="B10" s="967">
        <f>Application!G732</f>
        <v>7</v>
      </c>
      <c r="C10" s="1044"/>
      <c r="D10" s="331">
        <f>Application!O732</f>
        <v>2257</v>
      </c>
      <c r="E10" s="332"/>
      <c r="F10" s="1152"/>
      <c r="G10" s="331">
        <f t="shared" si="2"/>
        <v>0</v>
      </c>
      <c r="H10" s="332"/>
      <c r="I10" s="331" t="str">
        <f t="shared" si="0"/>
        <v/>
      </c>
      <c r="J10" s="331" t="str">
        <f t="shared" si="1"/>
        <v/>
      </c>
      <c r="K10" s="136"/>
      <c r="L10" s="212"/>
    </row>
    <row r="11" spans="1:12">
      <c r="A11" s="331" t="str">
        <f>Application!B733</f>
        <v>3 Bedrooms</v>
      </c>
      <c r="B11" s="967">
        <f>Application!G733</f>
        <v>7</v>
      </c>
      <c r="C11" s="1044" t="s">
        <v>1012</v>
      </c>
      <c r="D11" s="331">
        <f>Application!O733</f>
        <v>1102</v>
      </c>
      <c r="E11" s="332"/>
      <c r="F11" s="1152">
        <f>3625-26</f>
        <v>3599</v>
      </c>
      <c r="G11" s="331">
        <f t="shared" si="2"/>
        <v>25193</v>
      </c>
      <c r="H11" s="332"/>
      <c r="I11" s="331">
        <f t="shared" si="0"/>
        <v>2497</v>
      </c>
      <c r="J11" s="331">
        <f t="shared" si="1"/>
        <v>17479</v>
      </c>
      <c r="K11" s="136"/>
      <c r="L11" s="212"/>
    </row>
    <row r="12" spans="1:12">
      <c r="A12" s="331" t="str">
        <f>Application!B734</f>
        <v>3 Bedrooms</v>
      </c>
      <c r="B12" s="967">
        <f>Application!G734</f>
        <v>5</v>
      </c>
      <c r="C12" s="1044"/>
      <c r="D12" s="331">
        <f>Application!O734</f>
        <v>1854</v>
      </c>
      <c r="E12" s="332"/>
      <c r="F12" s="1152"/>
      <c r="G12" s="331">
        <f t="shared" si="2"/>
        <v>0</v>
      </c>
      <c r="H12" s="332"/>
      <c r="I12" s="331" t="str">
        <f t="shared" si="0"/>
        <v/>
      </c>
      <c r="J12" s="331" t="str">
        <f t="shared" si="1"/>
        <v/>
      </c>
      <c r="K12" s="136"/>
      <c r="L12" s="212"/>
    </row>
    <row r="13" spans="1:12">
      <c r="A13" s="331" t="str">
        <f>Application!B735</f>
        <v>3 Bedrooms</v>
      </c>
      <c r="B13" s="967">
        <f>Application!G735</f>
        <v>4</v>
      </c>
      <c r="C13" s="1044"/>
      <c r="D13" s="331">
        <f>Application!O735</f>
        <v>2230</v>
      </c>
      <c r="E13" s="332"/>
      <c r="F13" s="1152"/>
      <c r="G13" s="331">
        <f t="shared" si="2"/>
        <v>0</v>
      </c>
      <c r="H13" s="332"/>
      <c r="I13" s="331" t="str">
        <f t="shared" si="0"/>
        <v/>
      </c>
      <c r="J13" s="331" t="str">
        <f t="shared" si="1"/>
        <v/>
      </c>
      <c r="K13" s="136"/>
      <c r="L13" s="212"/>
    </row>
    <row r="14" spans="1:12">
      <c r="A14" s="331" t="str">
        <f>Application!B736</f>
        <v>3 Bedrooms</v>
      </c>
      <c r="B14" s="967">
        <f>Application!G736</f>
        <v>6</v>
      </c>
      <c r="C14" s="1044"/>
      <c r="D14" s="331">
        <f>Application!O736</f>
        <v>2397</v>
      </c>
      <c r="E14" s="332"/>
      <c r="F14" s="1152"/>
      <c r="G14" s="331">
        <f t="shared" si="2"/>
        <v>0</v>
      </c>
      <c r="H14" s="332"/>
      <c r="I14" s="331" t="str">
        <f t="shared" si="0"/>
        <v/>
      </c>
      <c r="J14" s="331" t="str">
        <f t="shared" si="1"/>
        <v/>
      </c>
      <c r="K14" s="136"/>
      <c r="L14" s="212"/>
    </row>
    <row r="15" spans="1:12">
      <c r="A15" s="331" t="str">
        <f>Application!B737</f>
        <v>2 Bedrooms</v>
      </c>
      <c r="B15" s="967">
        <f>Application!G737</f>
        <v>2</v>
      </c>
      <c r="C15" s="1044" t="s">
        <v>1012</v>
      </c>
      <c r="D15" s="331">
        <f>Application!O737</f>
        <v>955</v>
      </c>
      <c r="E15" s="332"/>
      <c r="F15" s="1152">
        <f>2684-21</f>
        <v>2663</v>
      </c>
      <c r="G15" s="331">
        <f t="shared" si="2"/>
        <v>5326</v>
      </c>
      <c r="H15" s="332"/>
      <c r="I15" s="331">
        <f t="shared" si="0"/>
        <v>1708</v>
      </c>
      <c r="J15" s="331">
        <f t="shared" si="1"/>
        <v>3416</v>
      </c>
      <c r="K15" s="136"/>
      <c r="L15" s="212"/>
    </row>
    <row r="16" spans="1:12">
      <c r="A16" s="331" t="str">
        <f>Application!B738</f>
        <v>3 Bedrooms</v>
      </c>
      <c r="B16" s="967">
        <f>Application!G738</f>
        <v>4</v>
      </c>
      <c r="C16" s="1044"/>
      <c r="D16" s="331">
        <f>Application!O738</f>
        <v>1102</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2721</v>
      </c>
      <c r="B40" s="334"/>
      <c r="C40" s="334"/>
      <c r="D40" s="335">
        <f>Application!O761</f>
        <v>134158</v>
      </c>
      <c r="E40" s="332"/>
      <c r="F40" s="332"/>
      <c r="G40" s="335">
        <f>SUM(G4:G38)*12</f>
        <v>844452</v>
      </c>
      <c r="H40" s="336"/>
      <c r="I40" s="334"/>
      <c r="J40" s="335">
        <f>SUM(J4:J38)*12</f>
        <v>557244</v>
      </c>
      <c r="K40" s="136"/>
      <c r="L40" s="213"/>
    </row>
    <row r="41" spans="1:12" ht="15">
      <c r="A41" s="333"/>
      <c r="B41" s="334"/>
      <c r="C41" s="334"/>
      <c r="D41" s="336"/>
      <c r="E41" s="332"/>
      <c r="F41" s="332"/>
      <c r="G41" s="336"/>
      <c r="H41" s="336"/>
      <c r="I41" s="334"/>
      <c r="J41" s="336"/>
      <c r="K41" s="136"/>
      <c r="L41" s="213"/>
    </row>
    <row r="42" spans="1:12">
      <c r="A42" s="211" t="s">
        <v>2722</v>
      </c>
    </row>
    <row r="43" spans="1:12">
      <c r="A43" s="2611" t="s">
        <v>2723</v>
      </c>
      <c r="B43" s="2611"/>
      <c r="C43" s="2611"/>
      <c r="D43" s="2611"/>
      <c r="E43" s="2611"/>
      <c r="F43" s="2611"/>
      <c r="G43" s="2611"/>
      <c r="H43" s="2611"/>
      <c r="I43" s="2611"/>
      <c r="J43" s="2611"/>
    </row>
    <row r="44" spans="1:12">
      <c r="A44" s="2611"/>
      <c r="B44" s="2611"/>
      <c r="C44" s="2611"/>
      <c r="D44" s="2611"/>
      <c r="E44" s="2611"/>
      <c r="F44" s="2611"/>
      <c r="G44" s="2611"/>
      <c r="H44" s="2611"/>
      <c r="I44" s="2611"/>
      <c r="J44" s="2611"/>
    </row>
    <row r="45" spans="1:12">
      <c r="A45" s="2611" t="s">
        <v>2724</v>
      </c>
      <c r="B45" s="2611"/>
      <c r="C45" s="2611"/>
      <c r="D45" s="2611"/>
      <c r="E45" s="2611"/>
      <c r="F45" s="2611"/>
      <c r="G45" s="2611"/>
      <c r="H45" s="2611"/>
      <c r="I45" s="2611"/>
      <c r="J45" s="2611"/>
    </row>
    <row r="46" spans="1:12">
      <c r="A46" s="2611"/>
      <c r="B46" s="2611"/>
      <c r="C46" s="2611"/>
      <c r="D46" s="2611"/>
      <c r="E46" s="2611"/>
      <c r="F46" s="2611"/>
      <c r="G46" s="2611"/>
      <c r="H46" s="2611"/>
      <c r="I46" s="2611"/>
      <c r="J46" s="261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6" sqref="E16"/>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2725</v>
      </c>
      <c r="B1" s="141"/>
    </row>
    <row r="2" spans="1:34"/>
    <row r="3" spans="1:34" ht="15.75">
      <c r="A3" s="142" t="s">
        <v>2726</v>
      </c>
      <c r="B3" s="142"/>
      <c r="C3" s="163" t="s">
        <v>2727</v>
      </c>
      <c r="D3" s="12"/>
      <c r="E3" s="164" t="s">
        <v>2728</v>
      </c>
      <c r="F3" s="135"/>
      <c r="G3" s="164" t="s">
        <v>2729</v>
      </c>
      <c r="H3" s="135"/>
      <c r="I3" s="164" t="s">
        <v>2730</v>
      </c>
      <c r="J3" s="135"/>
      <c r="K3" s="164" t="s">
        <v>2731</v>
      </c>
      <c r="L3" s="135"/>
      <c r="M3" s="164" t="s">
        <v>2732</v>
      </c>
      <c r="N3" s="135"/>
      <c r="O3" s="164" t="s">
        <v>2733</v>
      </c>
      <c r="P3" s="135"/>
      <c r="Q3" s="164" t="s">
        <v>2734</v>
      </c>
      <c r="R3" s="135"/>
      <c r="S3" s="164" t="s">
        <v>2735</v>
      </c>
      <c r="T3" s="135"/>
      <c r="U3" s="164" t="s">
        <v>2736</v>
      </c>
      <c r="V3" s="135"/>
      <c r="W3" s="164" t="s">
        <v>2737</v>
      </c>
      <c r="X3" s="135"/>
      <c r="Y3" s="164" t="s">
        <v>2738</v>
      </c>
      <c r="Z3" s="135"/>
      <c r="AA3" s="164" t="s">
        <v>2739</v>
      </c>
      <c r="AB3" s="135"/>
      <c r="AC3" s="164" t="s">
        <v>2740</v>
      </c>
      <c r="AD3" s="135"/>
      <c r="AE3" s="164" t="s">
        <v>2741</v>
      </c>
      <c r="AF3" s="135"/>
      <c r="AG3" s="164" t="s">
        <v>2742</v>
      </c>
      <c r="AH3" s="12"/>
    </row>
    <row r="4" spans="1:34" s="148" customFormat="1" ht="14.25">
      <c r="A4" s="148" t="s">
        <v>2743</v>
      </c>
      <c r="C4" s="1225">
        <v>1.0249999999999999</v>
      </c>
      <c r="E4" s="148">
        <f>Application!Y809</f>
        <v>1609896</v>
      </c>
      <c r="G4" s="148">
        <f>E4*$C$4</f>
        <v>1650143.4</v>
      </c>
      <c r="I4" s="148">
        <f>G4*$C$4</f>
        <v>1691396.9849999999</v>
      </c>
      <c r="K4" s="148">
        <f>I4*$C$4</f>
        <v>1733681.9096249996</v>
      </c>
      <c r="M4" s="148">
        <f>K4*$C$4</f>
        <v>1777023.9573656244</v>
      </c>
      <c r="O4" s="148">
        <f>M4*$C$4</f>
        <v>1821449.5562997649</v>
      </c>
      <c r="Q4" s="148">
        <f>O4*$C$4</f>
        <v>1866985.7952072588</v>
      </c>
      <c r="S4" s="148">
        <f>Q4*$C$4</f>
        <v>1913660.4400874402</v>
      </c>
      <c r="U4" s="148">
        <f>S4*$C$4</f>
        <v>1961501.9510896259</v>
      </c>
      <c r="W4" s="148">
        <f>U4*$C$4</f>
        <v>2010539.4998668665</v>
      </c>
      <c r="Y4" s="148">
        <f>W4*$C$4</f>
        <v>2060802.987363538</v>
      </c>
      <c r="AA4" s="148">
        <f>Y4*$C$4</f>
        <v>2112323.0620476264</v>
      </c>
      <c r="AC4" s="148">
        <f>AA4*$C$4</f>
        <v>2165131.1385988169</v>
      </c>
      <c r="AE4" s="148">
        <f>AC4*$C$4</f>
        <v>2219259.4170637871</v>
      </c>
      <c r="AG4" s="148">
        <f>AE4*$C$4</f>
        <v>2274740.9024903816</v>
      </c>
    </row>
    <row r="5" spans="1:34" s="140" customFormat="1" ht="14.25">
      <c r="B5" s="140" t="s">
        <v>2297</v>
      </c>
      <c r="C5" s="1226">
        <f>IF(Application!$D$211="Special Needs",(((0.1*Application!$T$212)+(0.05*(1-Application!$T$212)))),0.05)</f>
        <v>0.05</v>
      </c>
      <c r="E5" s="150">
        <f>-E4*$C$5</f>
        <v>-80494.8</v>
      </c>
      <c r="F5" s="150"/>
      <c r="G5" s="150">
        <f>-G4*$C$5</f>
        <v>-82507.17</v>
      </c>
      <c r="H5" s="150"/>
      <c r="I5" s="150">
        <f>-I4*$C$5</f>
        <v>-84569.849249999999</v>
      </c>
      <c r="J5" s="150"/>
      <c r="K5" s="150">
        <f>-K4*$C$5</f>
        <v>-86684.095481249984</v>
      </c>
      <c r="L5" s="150"/>
      <c r="M5" s="150">
        <f>-M4*$C$5</f>
        <v>-88851.197868281219</v>
      </c>
      <c r="N5" s="150"/>
      <c r="O5" s="150">
        <f>-O4*$C$5</f>
        <v>-91072.477814988248</v>
      </c>
      <c r="P5" s="150"/>
      <c r="Q5" s="150">
        <f>-Q4*$C$5</f>
        <v>-93349.289760362939</v>
      </c>
      <c r="R5" s="150"/>
      <c r="S5" s="150">
        <f>-S4*$C$5</f>
        <v>-95683.022004372018</v>
      </c>
      <c r="T5" s="150"/>
      <c r="U5" s="150">
        <f>-U4*$C$5</f>
        <v>-98075.097554481297</v>
      </c>
      <c r="V5" s="150"/>
      <c r="W5" s="150">
        <f>-W4*$C$5</f>
        <v>-100526.97499334333</v>
      </c>
      <c r="X5" s="150"/>
      <c r="Y5" s="150">
        <f>-Y4*$C$5</f>
        <v>-103040.14936817691</v>
      </c>
      <c r="Z5" s="150"/>
      <c r="AA5" s="150">
        <f>-AA4*$C$5</f>
        <v>-105616.15310238133</v>
      </c>
      <c r="AB5" s="150"/>
      <c r="AC5" s="150">
        <f>-AC4*$C$5</f>
        <v>-108256.55692994085</v>
      </c>
      <c r="AD5" s="150"/>
      <c r="AE5" s="150">
        <f>-AE4*$C$5</f>
        <v>-110962.97085318936</v>
      </c>
      <c r="AF5" s="150"/>
      <c r="AG5" s="150">
        <f>-AG4*$C$5</f>
        <v>-113737.04512451909</v>
      </c>
    </row>
    <row r="6" spans="1:34" s="140" customFormat="1" ht="14.25">
      <c r="A6" s="140" t="s">
        <v>2744</v>
      </c>
      <c r="C6" s="1225">
        <v>1.0249999999999999</v>
      </c>
      <c r="E6" s="151">
        <f>Application!Z817</f>
        <v>557244</v>
      </c>
      <c r="F6" s="151"/>
      <c r="G6" s="151">
        <f>E6*$C$6</f>
        <v>571175.1</v>
      </c>
      <c r="H6" s="151"/>
      <c r="I6" s="151">
        <f>G6*$C$6</f>
        <v>585454.47749999992</v>
      </c>
      <c r="J6" s="151"/>
      <c r="K6" s="151">
        <f>I6*$C$6</f>
        <v>600090.83943749988</v>
      </c>
      <c r="L6" s="151"/>
      <c r="M6" s="151">
        <f>K6*$C$6</f>
        <v>615093.11042343732</v>
      </c>
      <c r="N6" s="151"/>
      <c r="O6" s="151">
        <f>M6*$C$6</f>
        <v>630470.43818402325</v>
      </c>
      <c r="P6" s="151"/>
      <c r="Q6" s="151">
        <f>O6*$C$6</f>
        <v>646232.19913862378</v>
      </c>
      <c r="R6" s="151"/>
      <c r="S6" s="151">
        <f>Q6*$C$6</f>
        <v>662388.00411708932</v>
      </c>
      <c r="T6" s="151"/>
      <c r="U6" s="151">
        <f>S6*$C$6</f>
        <v>678947.70422001649</v>
      </c>
      <c r="V6" s="151"/>
      <c r="W6" s="151">
        <f>U6*$C$6</f>
        <v>695921.39682551683</v>
      </c>
      <c r="X6" s="151"/>
      <c r="Y6" s="151">
        <f>W6*$C$6</f>
        <v>713319.43174615467</v>
      </c>
      <c r="Z6" s="151"/>
      <c r="AA6" s="151">
        <f>Y6*$C$6</f>
        <v>731152.41753980843</v>
      </c>
      <c r="AB6" s="151"/>
      <c r="AC6" s="151">
        <f>AA6*$C$6</f>
        <v>749431.22797830356</v>
      </c>
      <c r="AD6" s="151"/>
      <c r="AE6" s="151">
        <f>AC6*$C$6</f>
        <v>768167.00867776107</v>
      </c>
      <c r="AF6" s="151"/>
      <c r="AG6" s="151">
        <f>AE6*$C$6</f>
        <v>787371.18389470503</v>
      </c>
    </row>
    <row r="7" spans="1:34" s="140" customFormat="1" ht="14.25">
      <c r="B7" s="140" t="s">
        <v>2297</v>
      </c>
      <c r="C7" s="1226">
        <f>IF(Application!$D$211="Special Needs",(((0.1*Application!$T$212)+(0.05*(1-Application!$T$212)))),0.05)</f>
        <v>0.05</v>
      </c>
      <c r="E7" s="150">
        <f>-E6*$C$7</f>
        <v>-27862.2</v>
      </c>
      <c r="F7" s="150"/>
      <c r="G7" s="150">
        <f>-G6*$C$7</f>
        <v>-28558.755000000001</v>
      </c>
      <c r="H7" s="150"/>
      <c r="I7" s="150">
        <f>-I6*$C$7</f>
        <v>-29272.723874999996</v>
      </c>
      <c r="J7" s="150"/>
      <c r="K7" s="150">
        <f>-K6*$C$7</f>
        <v>-30004.541971874994</v>
      </c>
      <c r="L7" s="150"/>
      <c r="M7" s="150">
        <f>-M6*$C$7</f>
        <v>-30754.655521171866</v>
      </c>
      <c r="N7" s="150"/>
      <c r="O7" s="150">
        <f>-O6*$C$7</f>
        <v>-31523.521909201165</v>
      </c>
      <c r="P7" s="150"/>
      <c r="Q7" s="150">
        <f>-Q6*$C$7</f>
        <v>-32311.609956931192</v>
      </c>
      <c r="R7" s="150"/>
      <c r="S7" s="150">
        <f>-S6*$C$7</f>
        <v>-33119.400205854465</v>
      </c>
      <c r="T7" s="150"/>
      <c r="U7" s="150">
        <f>-U6*$C$7</f>
        <v>-33947.385211000823</v>
      </c>
      <c r="V7" s="150"/>
      <c r="W7" s="150">
        <f>-W6*$C$7</f>
        <v>-34796.069841275843</v>
      </c>
      <c r="X7" s="150"/>
      <c r="Y7" s="150">
        <f>-Y6*$C$7</f>
        <v>-35665.971587307737</v>
      </c>
      <c r="Z7" s="150"/>
      <c r="AA7" s="150">
        <f>-AA6*$C$7</f>
        <v>-36557.620876990426</v>
      </c>
      <c r="AB7" s="150"/>
      <c r="AC7" s="150">
        <f>-AC6*$C$7</f>
        <v>-37471.561398915183</v>
      </c>
      <c r="AD7" s="150"/>
      <c r="AE7" s="150">
        <f>-AE6*$C$7</f>
        <v>-38408.350433888052</v>
      </c>
      <c r="AF7" s="150"/>
      <c r="AG7" s="150">
        <f>-AG6*$C$7</f>
        <v>-39368.559194735251</v>
      </c>
    </row>
    <row r="8" spans="1:34" s="140" customFormat="1" ht="14.25">
      <c r="A8" s="140" t="s">
        <v>215</v>
      </c>
      <c r="C8" s="1225">
        <v>1.0249999999999999</v>
      </c>
      <c r="E8" s="151">
        <f>Application!Z825</f>
        <v>12000</v>
      </c>
      <c r="F8" s="151"/>
      <c r="G8" s="151">
        <f>E8*$C$8</f>
        <v>12299.999999999998</v>
      </c>
      <c r="H8" s="151"/>
      <c r="I8" s="151">
        <f>G8*$C$8</f>
        <v>12607.499999999996</v>
      </c>
      <c r="J8" s="151"/>
      <c r="K8" s="151">
        <f>I8*$C$8</f>
        <v>12922.687499999995</v>
      </c>
      <c r="L8" s="151"/>
      <c r="M8" s="151">
        <f>K8*$C$8</f>
        <v>13245.754687499993</v>
      </c>
      <c r="N8" s="151"/>
      <c r="O8" s="151">
        <f>M8*$C$8</f>
        <v>13576.898554687492</v>
      </c>
      <c r="P8" s="151"/>
      <c r="Q8" s="151">
        <f>O8*$C$8</f>
        <v>13916.321018554678</v>
      </c>
      <c r="R8" s="151"/>
      <c r="S8" s="151">
        <f>Q8*$C$8</f>
        <v>14264.229044018544</v>
      </c>
      <c r="T8" s="151"/>
      <c r="U8" s="151">
        <f>S8*$C$8</f>
        <v>14620.834770119007</v>
      </c>
      <c r="V8" s="151"/>
      <c r="W8" s="151">
        <f>U8*$C$8</f>
        <v>14986.355639371981</v>
      </c>
      <c r="X8" s="151"/>
      <c r="Y8" s="151">
        <f>W8*$C$8</f>
        <v>15361.014530356279</v>
      </c>
      <c r="Z8" s="151"/>
      <c r="AA8" s="151">
        <f>Y8*$C$8</f>
        <v>15745.039893615183</v>
      </c>
      <c r="AB8" s="151"/>
      <c r="AC8" s="151">
        <f>AA8*$C$8</f>
        <v>16138.665890955561</v>
      </c>
      <c r="AD8" s="151"/>
      <c r="AE8" s="151">
        <f>AC8*$C$8</f>
        <v>16542.132538229449</v>
      </c>
      <c r="AF8" s="151"/>
      <c r="AG8" s="151">
        <f>AE8*$C$8</f>
        <v>16955.685851685183</v>
      </c>
    </row>
    <row r="9" spans="1:34" s="140" customFormat="1" ht="14.25">
      <c r="B9" s="140" t="s">
        <v>2297</v>
      </c>
      <c r="C9" s="1226">
        <f>IF(Application!$D$211="Special Needs",(((0.1*Application!$T$212)+(0.05*(1-Application!$T$212)))),0.05)</f>
        <v>0.05</v>
      </c>
      <c r="E9" s="150">
        <f>-E8*$C$9</f>
        <v>-600</v>
      </c>
      <c r="F9" s="150"/>
      <c r="G9" s="150">
        <f>-G8*$C$9</f>
        <v>-615</v>
      </c>
      <c r="H9" s="150"/>
      <c r="I9" s="150">
        <f>-I8*$C$9</f>
        <v>-630.37499999999989</v>
      </c>
      <c r="J9" s="150"/>
      <c r="K9" s="150">
        <f>-K8*$C$9</f>
        <v>-646.13437499999975</v>
      </c>
      <c r="L9" s="150"/>
      <c r="M9" s="150">
        <f>-M8*$C$9</f>
        <v>-662.28773437499967</v>
      </c>
      <c r="N9" s="150"/>
      <c r="O9" s="150">
        <f>-O8*$C$9</f>
        <v>-678.84492773437466</v>
      </c>
      <c r="P9" s="150"/>
      <c r="Q9" s="150">
        <f>-Q8*$C$9</f>
        <v>-695.81605092773395</v>
      </c>
      <c r="R9" s="150"/>
      <c r="S9" s="150">
        <f>-S8*$C$9</f>
        <v>-713.21145220092728</v>
      </c>
      <c r="T9" s="150"/>
      <c r="U9" s="150">
        <f>-U8*$C$9</f>
        <v>-731.04173850595043</v>
      </c>
      <c r="V9" s="150"/>
      <c r="W9" s="150">
        <f>-W8*$C$9</f>
        <v>-749.31778196859909</v>
      </c>
      <c r="X9" s="150"/>
      <c r="Y9" s="150">
        <f>-Y8*$C$9</f>
        <v>-768.05072651781393</v>
      </c>
      <c r="Z9" s="150"/>
      <c r="AA9" s="150">
        <f>-AA8*$C$9</f>
        <v>-787.25199468075925</v>
      </c>
      <c r="AB9" s="150"/>
      <c r="AC9" s="150">
        <f>-AC8*$C$9</f>
        <v>-806.93329454777813</v>
      </c>
      <c r="AD9" s="150"/>
      <c r="AE9" s="150">
        <f>-AE8*$C$9</f>
        <v>-827.10662691147252</v>
      </c>
      <c r="AF9" s="150"/>
      <c r="AG9" s="150">
        <f>-AG8*$C$9</f>
        <v>-847.78429258425922</v>
      </c>
    </row>
    <row r="10" spans="1:34" s="140" customFormat="1" ht="14.25">
      <c r="A10" s="1026" t="s">
        <v>2745</v>
      </c>
      <c r="B10" s="1026"/>
      <c r="C10" s="1226"/>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2746</v>
      </c>
      <c r="C11" s="145"/>
      <c r="E11" s="152">
        <f>SUM(E4:E10)</f>
        <v>2070183</v>
      </c>
      <c r="G11" s="152">
        <f>SUM(G4:G10)</f>
        <v>2121937.5750000002</v>
      </c>
      <c r="I11" s="152">
        <f>SUM(I4:I10)</f>
        <v>2174986.0143749998</v>
      </c>
      <c r="K11" s="152">
        <f>SUM(K4:K10)</f>
        <v>2229360.6647343747</v>
      </c>
      <c r="M11" s="152">
        <f>SUM(M4:M10)</f>
        <v>2285094.6813527341</v>
      </c>
      <c r="O11" s="152">
        <f>SUM(O4:O10)</f>
        <v>2342222.0483865519</v>
      </c>
      <c r="Q11" s="152">
        <f>SUM(Q4:Q10)</f>
        <v>2400777.5995962154</v>
      </c>
      <c r="S11" s="152">
        <f>SUM(S4:S10)</f>
        <v>2460797.0395861203</v>
      </c>
      <c r="U11" s="152">
        <f>SUM(U4:U10)</f>
        <v>2522316.9655757733</v>
      </c>
      <c r="W11" s="152">
        <f>SUM(W4:W10)</f>
        <v>2585374.8897151677</v>
      </c>
      <c r="Y11" s="152">
        <f>SUM(Y4:Y10)</f>
        <v>2650009.2619580464</v>
      </c>
      <c r="AA11" s="152">
        <f>SUM(AA4:AA10)</f>
        <v>2716259.4935069978</v>
      </c>
      <c r="AC11" s="152">
        <f>SUM(AC4:AC10)</f>
        <v>2784165.9808446723</v>
      </c>
      <c r="AE11" s="152">
        <f>SUM(AE4:AE10)</f>
        <v>2853770.1303657885</v>
      </c>
      <c r="AG11" s="152">
        <f>SUM(AG4:AG10)</f>
        <v>2925114.3836249332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2747</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2748</v>
      </c>
      <c r="C14" s="1225">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2749</v>
      </c>
      <c r="C15" s="859"/>
      <c r="E15" s="148">
        <f>Application!W855</f>
        <v>41107</v>
      </c>
      <c r="G15" s="148">
        <f>E15*$C$14</f>
        <v>42545.744999999995</v>
      </c>
      <c r="I15" s="148">
        <f>G15*$C$14</f>
        <v>44034.846074999994</v>
      </c>
      <c r="K15" s="148">
        <f>I15*$C$14</f>
        <v>45576.065687624992</v>
      </c>
      <c r="M15" s="148">
        <f>K15*$C$14</f>
        <v>47171.227986691862</v>
      </c>
      <c r="O15" s="148">
        <f>M15*$C$14</f>
        <v>48822.220966226072</v>
      </c>
      <c r="Q15" s="148">
        <f>O15*$C$14</f>
        <v>50530.99870004398</v>
      </c>
      <c r="S15" s="148">
        <f>Q15*$C$14</f>
        <v>52299.583654545517</v>
      </c>
      <c r="U15" s="148">
        <f>S15*$C$14</f>
        <v>54130.069082454604</v>
      </c>
      <c r="W15" s="148">
        <f>U15*$C$14</f>
        <v>56024.621500340509</v>
      </c>
      <c r="Y15" s="148">
        <f>W15*$C$14</f>
        <v>57985.48325285242</v>
      </c>
      <c r="AA15" s="148">
        <f>Y15*$C$14</f>
        <v>60014.97516670225</v>
      </c>
      <c r="AC15" s="148">
        <f>AA15*$C$14</f>
        <v>62115.499297536822</v>
      </c>
      <c r="AE15" s="148">
        <f>AC15*$C$14</f>
        <v>64289.541772950608</v>
      </c>
      <c r="AG15" s="148">
        <f>AE15*$C$14</f>
        <v>66539.675735003868</v>
      </c>
    </row>
    <row r="16" spans="1:34" s="140" customFormat="1" ht="14.25">
      <c r="A16" s="140" t="s">
        <v>1572</v>
      </c>
      <c r="C16" s="851"/>
      <c r="E16" s="151">
        <f>Application!W857</f>
        <v>85628</v>
      </c>
      <c r="F16" s="151"/>
      <c r="G16" s="151">
        <f t="shared" ref="G16:AG21" si="0">E16*$C$14</f>
        <v>88624.98</v>
      </c>
      <c r="H16" s="151"/>
      <c r="I16" s="151">
        <f t="shared" si="0"/>
        <v>91726.854299999992</v>
      </c>
      <c r="J16" s="151"/>
      <c r="K16" s="151">
        <f t="shared" si="0"/>
        <v>94937.294200499979</v>
      </c>
      <c r="L16" s="151"/>
      <c r="M16" s="151">
        <f t="shared" si="0"/>
        <v>98260.099497517469</v>
      </c>
      <c r="N16" s="151"/>
      <c r="O16" s="151">
        <f t="shared" si="0"/>
        <v>101699.20297993057</v>
      </c>
      <c r="P16" s="151"/>
      <c r="Q16" s="151">
        <f t="shared" si="0"/>
        <v>105258.67508422813</v>
      </c>
      <c r="R16" s="151"/>
      <c r="S16" s="151">
        <f t="shared" si="0"/>
        <v>108942.7287121761</v>
      </c>
      <c r="T16" s="151"/>
      <c r="U16" s="151">
        <f t="shared" si="0"/>
        <v>112755.72421710225</v>
      </c>
      <c r="V16" s="151"/>
      <c r="W16" s="151">
        <f t="shared" si="0"/>
        <v>116702.17456470082</v>
      </c>
      <c r="X16" s="151"/>
      <c r="Y16" s="151">
        <f t="shared" si="0"/>
        <v>120786.75067446534</v>
      </c>
      <c r="Z16" s="151"/>
      <c r="AA16" s="151">
        <f t="shared" si="0"/>
        <v>125014.28694807162</v>
      </c>
      <c r="AB16" s="151"/>
      <c r="AC16" s="151">
        <f t="shared" si="0"/>
        <v>129389.78699125412</v>
      </c>
      <c r="AD16" s="151"/>
      <c r="AE16" s="151">
        <f t="shared" si="0"/>
        <v>133918.429535948</v>
      </c>
      <c r="AF16" s="151"/>
      <c r="AG16" s="151">
        <f t="shared" si="0"/>
        <v>138605.57456970616</v>
      </c>
    </row>
    <row r="17" spans="1:33" s="140" customFormat="1" ht="14.25">
      <c r="A17" s="140" t="s">
        <v>230</v>
      </c>
      <c r="C17" s="851"/>
      <c r="E17" s="151">
        <f>Application!W863</f>
        <v>101271</v>
      </c>
      <c r="F17" s="151"/>
      <c r="G17" s="151">
        <f t="shared" si="0"/>
        <v>104815.48499999999</v>
      </c>
      <c r="H17" s="151"/>
      <c r="I17" s="151">
        <f t="shared" si="0"/>
        <v>108484.02697499997</v>
      </c>
      <c r="J17" s="151"/>
      <c r="K17" s="151">
        <f t="shared" si="0"/>
        <v>112280.96791912496</v>
      </c>
      <c r="L17" s="151"/>
      <c r="M17" s="151">
        <f t="shared" si="0"/>
        <v>116210.80179629433</v>
      </c>
      <c r="N17" s="151"/>
      <c r="O17" s="151">
        <f t="shared" si="0"/>
        <v>120278.17985916462</v>
      </c>
      <c r="P17" s="151"/>
      <c r="Q17" s="151">
        <f t="shared" si="0"/>
        <v>124487.91615423537</v>
      </c>
      <c r="R17" s="151"/>
      <c r="S17" s="151">
        <f t="shared" si="0"/>
        <v>128844.9932196336</v>
      </c>
      <c r="T17" s="151"/>
      <c r="U17" s="151">
        <f t="shared" si="0"/>
        <v>133354.56798232076</v>
      </c>
      <c r="V17" s="151"/>
      <c r="W17" s="151">
        <f t="shared" si="0"/>
        <v>138021.97786170198</v>
      </c>
      <c r="X17" s="151"/>
      <c r="Y17" s="151">
        <f t="shared" si="0"/>
        <v>142852.74708686155</v>
      </c>
      <c r="Z17" s="151"/>
      <c r="AA17" s="151">
        <f t="shared" si="0"/>
        <v>147852.59323490169</v>
      </c>
      <c r="AB17" s="151"/>
      <c r="AC17" s="151">
        <f t="shared" si="0"/>
        <v>153027.43399812325</v>
      </c>
      <c r="AD17" s="151"/>
      <c r="AE17" s="151">
        <f t="shared" si="0"/>
        <v>158383.39418805754</v>
      </c>
      <c r="AF17" s="151"/>
      <c r="AG17" s="151">
        <f t="shared" si="0"/>
        <v>163926.81298463955</v>
      </c>
    </row>
    <row r="18" spans="1:33" s="140" customFormat="1" ht="14.25">
      <c r="A18" s="140" t="s">
        <v>2750</v>
      </c>
      <c r="C18" s="851"/>
      <c r="E18" s="151">
        <f>Application!W870</f>
        <v>220422</v>
      </c>
      <c r="F18" s="151"/>
      <c r="G18" s="151">
        <f t="shared" si="0"/>
        <v>228136.77</v>
      </c>
      <c r="H18" s="151"/>
      <c r="I18" s="151">
        <f t="shared" si="0"/>
        <v>236121.55694999997</v>
      </c>
      <c r="J18" s="151"/>
      <c r="K18" s="151">
        <f t="shared" si="0"/>
        <v>244385.81144324996</v>
      </c>
      <c r="L18" s="151"/>
      <c r="M18" s="151">
        <f t="shared" si="0"/>
        <v>252939.31484376368</v>
      </c>
      <c r="N18" s="151"/>
      <c r="O18" s="151">
        <f t="shared" si="0"/>
        <v>261792.1908632954</v>
      </c>
      <c r="P18" s="151"/>
      <c r="Q18" s="151">
        <f t="shared" si="0"/>
        <v>270954.91754351073</v>
      </c>
      <c r="R18" s="151"/>
      <c r="S18" s="151">
        <f t="shared" si="0"/>
        <v>280438.33965753356</v>
      </c>
      <c r="T18" s="151"/>
      <c r="U18" s="151">
        <f t="shared" si="0"/>
        <v>290253.68154554721</v>
      </c>
      <c r="V18" s="151"/>
      <c r="W18" s="151">
        <f t="shared" si="0"/>
        <v>300412.56039964134</v>
      </c>
      <c r="X18" s="151"/>
      <c r="Y18" s="151">
        <f t="shared" si="0"/>
        <v>310927.00001362874</v>
      </c>
      <c r="Z18" s="151"/>
      <c r="AA18" s="151">
        <f t="shared" si="0"/>
        <v>321809.4450141057</v>
      </c>
      <c r="AB18" s="151"/>
      <c r="AC18" s="151">
        <f t="shared" si="0"/>
        <v>333072.77558959939</v>
      </c>
      <c r="AD18" s="151"/>
      <c r="AE18" s="151">
        <f t="shared" si="0"/>
        <v>344730.32273523533</v>
      </c>
      <c r="AF18" s="151"/>
      <c r="AG18" s="151">
        <f t="shared" si="0"/>
        <v>356795.88403096853</v>
      </c>
    </row>
    <row r="19" spans="1:33" s="140" customFormat="1" ht="14.25">
      <c r="A19" s="140" t="s">
        <v>1586</v>
      </c>
      <c r="C19" s="851"/>
      <c r="E19" s="151">
        <f>Application!W872</f>
        <v>158533</v>
      </c>
      <c r="F19" s="151"/>
      <c r="G19" s="151">
        <f t="shared" si="0"/>
        <v>164081.655</v>
      </c>
      <c r="H19" s="151"/>
      <c r="I19" s="151">
        <f t="shared" si="0"/>
        <v>169824.51292499999</v>
      </c>
      <c r="J19" s="151"/>
      <c r="K19" s="151">
        <f t="shared" si="0"/>
        <v>175768.37087737498</v>
      </c>
      <c r="L19" s="151"/>
      <c r="M19" s="151">
        <f t="shared" si="0"/>
        <v>181920.26385808308</v>
      </c>
      <c r="N19" s="151"/>
      <c r="O19" s="151">
        <f t="shared" si="0"/>
        <v>188287.47309311599</v>
      </c>
      <c r="P19" s="151"/>
      <c r="Q19" s="151">
        <f t="shared" si="0"/>
        <v>194877.53465137503</v>
      </c>
      <c r="R19" s="151"/>
      <c r="S19" s="151">
        <f t="shared" si="0"/>
        <v>201698.24836417314</v>
      </c>
      <c r="T19" s="151"/>
      <c r="U19" s="151">
        <f t="shared" si="0"/>
        <v>208757.68705691918</v>
      </c>
      <c r="V19" s="151"/>
      <c r="W19" s="151">
        <f t="shared" si="0"/>
        <v>216064.20610391133</v>
      </c>
      <c r="X19" s="151"/>
      <c r="Y19" s="151">
        <f t="shared" si="0"/>
        <v>223626.45331754821</v>
      </c>
      <c r="Z19" s="151"/>
      <c r="AA19" s="151">
        <f t="shared" si="0"/>
        <v>231453.37918366239</v>
      </c>
      <c r="AB19" s="151"/>
      <c r="AC19" s="151">
        <f t="shared" si="0"/>
        <v>239554.24745509055</v>
      </c>
      <c r="AD19" s="151"/>
      <c r="AE19" s="151">
        <f t="shared" si="0"/>
        <v>247938.6461160187</v>
      </c>
      <c r="AF19" s="151"/>
      <c r="AG19" s="151">
        <f t="shared" si="0"/>
        <v>256616.49873007933</v>
      </c>
    </row>
    <row r="20" spans="1:33" s="140" customFormat="1" ht="14.25">
      <c r="A20" s="140" t="s">
        <v>232</v>
      </c>
      <c r="C20" s="851"/>
      <c r="E20" s="151">
        <f>Application!W881</f>
        <v>169781</v>
      </c>
      <c r="F20" s="151"/>
      <c r="G20" s="151">
        <f t="shared" si="0"/>
        <v>175723.33499999999</v>
      </c>
      <c r="H20" s="151"/>
      <c r="I20" s="151">
        <f t="shared" si="0"/>
        <v>181873.65172499997</v>
      </c>
      <c r="J20" s="151"/>
      <c r="K20" s="151">
        <f t="shared" si="0"/>
        <v>188239.22953537497</v>
      </c>
      <c r="L20" s="151"/>
      <c r="M20" s="151">
        <f t="shared" si="0"/>
        <v>194827.60256911308</v>
      </c>
      <c r="N20" s="151"/>
      <c r="O20" s="151">
        <f t="shared" si="0"/>
        <v>201646.56865903203</v>
      </c>
      <c r="P20" s="151"/>
      <c r="Q20" s="151">
        <f t="shared" si="0"/>
        <v>208704.19856209814</v>
      </c>
      <c r="R20" s="151"/>
      <c r="S20" s="151">
        <f t="shared" si="0"/>
        <v>216008.84551177156</v>
      </c>
      <c r="T20" s="151"/>
      <c r="U20" s="151">
        <f t="shared" si="0"/>
        <v>223569.15510468354</v>
      </c>
      <c r="V20" s="151"/>
      <c r="W20" s="151">
        <f t="shared" si="0"/>
        <v>231394.07553334744</v>
      </c>
      <c r="X20" s="151"/>
      <c r="Y20" s="151">
        <f t="shared" si="0"/>
        <v>239492.86817701458</v>
      </c>
      <c r="Z20" s="151"/>
      <c r="AA20" s="151">
        <f t="shared" si="0"/>
        <v>247875.11856321007</v>
      </c>
      <c r="AB20" s="151"/>
      <c r="AC20" s="151">
        <f t="shared" si="0"/>
        <v>256550.7477129224</v>
      </c>
      <c r="AD20" s="151"/>
      <c r="AE20" s="151">
        <f t="shared" si="0"/>
        <v>265530.02388287464</v>
      </c>
      <c r="AF20" s="151"/>
      <c r="AG20" s="151">
        <f t="shared" si="0"/>
        <v>274823.57471877523</v>
      </c>
    </row>
    <row r="21" spans="1:33" s="140" customFormat="1" ht="14.25">
      <c r="A21" s="155" t="s">
        <v>2751</v>
      </c>
      <c r="B21" s="155"/>
      <c r="C21" s="851"/>
      <c r="E21" s="161">
        <f>Application!W888</f>
        <v>44649</v>
      </c>
      <c r="F21" s="151"/>
      <c r="G21" s="161">
        <f t="shared" si="0"/>
        <v>46211.714999999997</v>
      </c>
      <c r="H21" s="151"/>
      <c r="I21" s="161">
        <f t="shared" si="0"/>
        <v>47829.125024999994</v>
      </c>
      <c r="J21" s="151"/>
      <c r="K21" s="161">
        <f t="shared" si="0"/>
        <v>49503.14440087499</v>
      </c>
      <c r="L21" s="151"/>
      <c r="M21" s="161">
        <f t="shared" si="0"/>
        <v>51235.754454905611</v>
      </c>
      <c r="N21" s="151"/>
      <c r="O21" s="161">
        <f t="shared" si="0"/>
        <v>53029.005860827303</v>
      </c>
      <c r="P21" s="151"/>
      <c r="Q21" s="161">
        <f t="shared" si="0"/>
        <v>54885.021065956251</v>
      </c>
      <c r="R21" s="151"/>
      <c r="S21" s="161">
        <f t="shared" si="0"/>
        <v>56805.996803264716</v>
      </c>
      <c r="T21" s="151"/>
      <c r="U21" s="161">
        <f t="shared" si="0"/>
        <v>58794.206691378975</v>
      </c>
      <c r="V21" s="151"/>
      <c r="W21" s="161">
        <f t="shared" si="0"/>
        <v>60852.003925577235</v>
      </c>
      <c r="X21" s="151"/>
      <c r="Y21" s="161">
        <f t="shared" si="0"/>
        <v>62981.824062972431</v>
      </c>
      <c r="Z21" s="151"/>
      <c r="AA21" s="161">
        <f t="shared" si="0"/>
        <v>65186.187905176463</v>
      </c>
      <c r="AB21" s="151"/>
      <c r="AC21" s="161">
        <f t="shared" si="0"/>
        <v>67467.70448185764</v>
      </c>
      <c r="AD21" s="151"/>
      <c r="AE21" s="161">
        <f t="shared" si="0"/>
        <v>69829.074138722644</v>
      </c>
      <c r="AF21" s="151"/>
      <c r="AG21" s="161">
        <f t="shared" si="0"/>
        <v>72273.091733577938</v>
      </c>
    </row>
    <row r="22" spans="1:33" s="152" customFormat="1" ht="15">
      <c r="A22" s="152" t="s">
        <v>2752</v>
      </c>
      <c r="C22" s="851"/>
      <c r="E22" s="152">
        <f>SUM(E15:E21)</f>
        <v>821391</v>
      </c>
      <c r="G22" s="152">
        <f>SUM(G15:G21)</f>
        <v>850139.68499999994</v>
      </c>
      <c r="I22" s="152">
        <f>SUM(I15:I21)</f>
        <v>879894.57397499983</v>
      </c>
      <c r="K22" s="152">
        <f>SUM(K15:K21)</f>
        <v>910690.88406412478</v>
      </c>
      <c r="M22" s="152">
        <f>SUM(M15:M21)</f>
        <v>942565.06500636903</v>
      </c>
      <c r="O22" s="152">
        <f>SUM(O15:O21)</f>
        <v>975554.84228159196</v>
      </c>
      <c r="Q22" s="152">
        <f>SUM(Q15:Q21)</f>
        <v>1009699.2617614476</v>
      </c>
      <c r="S22" s="152">
        <f>SUM(S15:S21)</f>
        <v>1045038.7359230981</v>
      </c>
      <c r="U22" s="152">
        <f>SUM(U15:U21)</f>
        <v>1081615.0916804066</v>
      </c>
      <c r="W22" s="152">
        <f>SUM(W15:W21)</f>
        <v>1119471.6198892207</v>
      </c>
      <c r="Y22" s="152">
        <f>SUM(Y15:Y21)</f>
        <v>1158653.1265853432</v>
      </c>
      <c r="AA22" s="152">
        <f>SUM(AA15:AA21)</f>
        <v>1199205.9860158302</v>
      </c>
      <c r="AC22" s="152">
        <f>SUM(AC15:AC21)</f>
        <v>1241178.1955263841</v>
      </c>
      <c r="AE22" s="152">
        <f>SUM(AE15:AE21)</f>
        <v>1284619.4323698075</v>
      </c>
      <c r="AG22" s="152">
        <f>SUM(AG15:AG21)</f>
        <v>1329581.1125027505</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2753</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2754</v>
      </c>
      <c r="C26" s="1225">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2349</v>
      </c>
      <c r="C27" s="1225">
        <v>1.0349999999999999</v>
      </c>
      <c r="E27" s="151">
        <f>Application!AC897</f>
        <v>59920</v>
      </c>
      <c r="F27" s="151"/>
      <c r="G27" s="151">
        <f>E27*$C$27</f>
        <v>62017.2</v>
      </c>
      <c r="H27" s="151"/>
      <c r="I27" s="151">
        <f>G27*$C$27</f>
        <v>64187.801999999989</v>
      </c>
      <c r="J27" s="151"/>
      <c r="K27" s="151">
        <f>I27*$C$27</f>
        <v>66434.37506999998</v>
      </c>
      <c r="L27" s="151"/>
      <c r="M27" s="151">
        <f>K27*$C$27</f>
        <v>68759.57819744997</v>
      </c>
      <c r="N27" s="151"/>
      <c r="O27" s="151">
        <f>M27*$C$27</f>
        <v>71166.163434360715</v>
      </c>
      <c r="P27" s="151"/>
      <c r="Q27" s="151">
        <f>O27*$C$27</f>
        <v>73656.979154563334</v>
      </c>
      <c r="R27" s="151"/>
      <c r="S27" s="151">
        <f>Q27*$C$27</f>
        <v>76234.973424973039</v>
      </c>
      <c r="T27" s="151"/>
      <c r="U27" s="151">
        <f>S27*$C$27</f>
        <v>78903.197494847089</v>
      </c>
      <c r="V27" s="151"/>
      <c r="W27" s="151">
        <f>U27*$C$27</f>
        <v>81664.809407166729</v>
      </c>
      <c r="X27" s="151"/>
      <c r="Y27" s="151">
        <f>W27*$C$27</f>
        <v>84523.077736417559</v>
      </c>
      <c r="Z27" s="151"/>
      <c r="AA27" s="151">
        <f>Y27*$C$27</f>
        <v>87481.385457192169</v>
      </c>
      <c r="AB27" s="151"/>
      <c r="AC27" s="151">
        <f>AA27*$C$27</f>
        <v>90543.233948193883</v>
      </c>
      <c r="AD27" s="151"/>
      <c r="AE27" s="151">
        <f>AC27*$C$27</f>
        <v>93712.247136380669</v>
      </c>
      <c r="AF27" s="151"/>
      <c r="AG27" s="151">
        <f>AE27*$C$27</f>
        <v>96992.175786153981</v>
      </c>
    </row>
    <row r="28" spans="1:33" s="140" customFormat="1" ht="14.25">
      <c r="A28" s="140" t="s">
        <v>2755</v>
      </c>
      <c r="C28" s="1225"/>
      <c r="E28" s="151">
        <f>Application!AC898</f>
        <v>50000</v>
      </c>
      <c r="F28" s="151"/>
      <c r="G28" s="151">
        <f>$E$28</f>
        <v>50000</v>
      </c>
      <c r="H28" s="151"/>
      <c r="I28" s="151">
        <f>$E$28</f>
        <v>50000</v>
      </c>
      <c r="J28" s="151"/>
      <c r="K28" s="151">
        <f>$E$28</f>
        <v>50000</v>
      </c>
      <c r="L28" s="151"/>
      <c r="M28" s="151">
        <f>$E$28</f>
        <v>50000</v>
      </c>
      <c r="N28" s="151"/>
      <c r="O28" s="151">
        <f>$E$28</f>
        <v>50000</v>
      </c>
      <c r="P28" s="151"/>
      <c r="Q28" s="151">
        <f>$E$28</f>
        <v>50000</v>
      </c>
      <c r="R28" s="151"/>
      <c r="S28" s="151">
        <f>$E$28</f>
        <v>50000</v>
      </c>
      <c r="T28" s="151"/>
      <c r="U28" s="151">
        <f>$E$28</f>
        <v>50000</v>
      </c>
      <c r="V28" s="151"/>
      <c r="W28" s="151">
        <f>$E$28</f>
        <v>50000</v>
      </c>
      <c r="X28" s="151"/>
      <c r="Y28" s="151">
        <f>$E$28</f>
        <v>50000</v>
      </c>
      <c r="Z28" s="151"/>
      <c r="AA28" s="151">
        <f>$E$28</f>
        <v>50000</v>
      </c>
      <c r="AB28" s="151"/>
      <c r="AC28" s="151">
        <f>$E$28</f>
        <v>50000</v>
      </c>
      <c r="AD28" s="151"/>
      <c r="AE28" s="151">
        <f>$E$28</f>
        <v>50000</v>
      </c>
      <c r="AF28" s="151"/>
      <c r="AG28" s="151">
        <f>$E$28</f>
        <v>50000</v>
      </c>
    </row>
    <row r="29" spans="1:33" s="140" customFormat="1" ht="14.25">
      <c r="A29" s="140" t="s">
        <v>2756</v>
      </c>
      <c r="C29" s="1225"/>
      <c r="E29" s="151">
        <f>Application!AC899</f>
        <v>6210</v>
      </c>
      <c r="F29" s="151"/>
      <c r="G29" s="151">
        <f>$E$29</f>
        <v>6210</v>
      </c>
      <c r="H29" s="151"/>
      <c r="I29" s="151">
        <f>$E$29</f>
        <v>6210</v>
      </c>
      <c r="J29" s="151"/>
      <c r="K29" s="151">
        <f>$E$29</f>
        <v>6210</v>
      </c>
      <c r="L29" s="151"/>
      <c r="M29" s="151">
        <f>$E$29</f>
        <v>6210</v>
      </c>
      <c r="N29" s="151"/>
      <c r="O29" s="151">
        <f>$E$29</f>
        <v>6210</v>
      </c>
      <c r="P29" s="151"/>
      <c r="Q29" s="151">
        <f>$E$29</f>
        <v>6210</v>
      </c>
      <c r="R29" s="151"/>
      <c r="S29" s="151">
        <f>$E$29</f>
        <v>6210</v>
      </c>
      <c r="T29" s="151"/>
      <c r="U29" s="151">
        <f>$E$29</f>
        <v>6210</v>
      </c>
      <c r="V29" s="151"/>
      <c r="W29" s="151">
        <f>$E$29</f>
        <v>6210</v>
      </c>
      <c r="X29" s="151"/>
      <c r="Y29" s="151">
        <f>$E$29</f>
        <v>6210</v>
      </c>
      <c r="Z29" s="151"/>
      <c r="AA29" s="151">
        <f>$E$29</f>
        <v>6210</v>
      </c>
      <c r="AB29" s="151"/>
      <c r="AC29" s="151">
        <f>$E$29</f>
        <v>6210</v>
      </c>
      <c r="AD29" s="151"/>
      <c r="AE29" s="151">
        <f>$E$29</f>
        <v>6210</v>
      </c>
      <c r="AF29" s="151"/>
      <c r="AG29" s="151">
        <f>$E$29</f>
        <v>6210</v>
      </c>
    </row>
    <row r="30" spans="1:33" s="140" customFormat="1" ht="14.25">
      <c r="A30" s="140" t="s">
        <v>2757</v>
      </c>
      <c r="C30" s="1225">
        <v>1.02</v>
      </c>
      <c r="E30" s="151">
        <f>Application!AC900</f>
        <v>5725</v>
      </c>
      <c r="F30" s="151"/>
      <c r="G30" s="151">
        <f>E30*$C$30</f>
        <v>5839.5</v>
      </c>
      <c r="H30" s="151"/>
      <c r="I30" s="151">
        <f>G30*$C$30</f>
        <v>5956.29</v>
      </c>
      <c r="J30" s="151"/>
      <c r="K30" s="151">
        <f>I30*$C$30</f>
        <v>6075.4157999999998</v>
      </c>
      <c r="L30" s="151"/>
      <c r="M30" s="151">
        <f>K30*$C$30</f>
        <v>6196.9241160000001</v>
      </c>
      <c r="N30" s="151"/>
      <c r="O30" s="151">
        <f>M30*$C$30</f>
        <v>6320.86259832</v>
      </c>
      <c r="P30" s="151"/>
      <c r="Q30" s="151">
        <f>O30*$C$30</f>
        <v>6447.2798502863998</v>
      </c>
      <c r="R30" s="151"/>
      <c r="S30" s="151">
        <f>Q30*$C$30</f>
        <v>6576.2254472921277</v>
      </c>
      <c r="T30" s="151"/>
      <c r="U30" s="151">
        <f>S30*$C$30</f>
        <v>6707.7499562379708</v>
      </c>
      <c r="V30" s="151"/>
      <c r="W30" s="151">
        <f>U30*$C$30</f>
        <v>6841.9049553627301</v>
      </c>
      <c r="X30" s="151"/>
      <c r="Y30" s="151">
        <f>W30*$C$30</f>
        <v>6978.7430544699846</v>
      </c>
      <c r="Z30" s="151"/>
      <c r="AA30" s="151">
        <f>Y30*$C$30</f>
        <v>7118.3179155593843</v>
      </c>
      <c r="AB30" s="151"/>
      <c r="AC30" s="151">
        <f>AA30*$C$30</f>
        <v>7260.6842738705718</v>
      </c>
      <c r="AD30" s="151"/>
      <c r="AE30" s="151">
        <f>AC30*$C$30</f>
        <v>7405.8979593479835</v>
      </c>
      <c r="AF30" s="151"/>
      <c r="AG30" s="151">
        <f>AE30*$C$30</f>
        <v>7554.015918534943</v>
      </c>
    </row>
    <row r="31" spans="1:33" s="140" customFormat="1" ht="14.25">
      <c r="A31" s="140" t="s">
        <v>2758</v>
      </c>
      <c r="C31" s="1225">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Case Management for Special Needs</v>
      </c>
      <c r="C32" s="1227">
        <v>1.0349999999999999</v>
      </c>
      <c r="E32" s="151">
        <f>Application!AC903</f>
        <v>77416</v>
      </c>
      <c r="F32" s="151"/>
      <c r="G32" s="151">
        <f>E32*$C$32</f>
        <v>80125.56</v>
      </c>
      <c r="H32" s="151"/>
      <c r="I32" s="151">
        <f>G32*$C$32</f>
        <v>82929.954599999997</v>
      </c>
      <c r="J32" s="151"/>
      <c r="K32" s="151">
        <f>I32*$C$32</f>
        <v>85832.503010999993</v>
      </c>
      <c r="L32" s="151"/>
      <c r="M32" s="151">
        <f>K32*$C$32</f>
        <v>88836.64061638499</v>
      </c>
      <c r="N32" s="151"/>
      <c r="O32" s="151">
        <f>M32*$C$32</f>
        <v>91945.923037958462</v>
      </c>
      <c r="P32" s="151"/>
      <c r="Q32" s="151">
        <f>O32*$C$32</f>
        <v>95164.030344287006</v>
      </c>
      <c r="R32" s="151"/>
      <c r="S32" s="151">
        <f>Q32*$C$32</f>
        <v>98494.771406337037</v>
      </c>
      <c r="T32" s="151"/>
      <c r="U32" s="151">
        <f>S32*$C$32</f>
        <v>101942.08840555882</v>
      </c>
      <c r="V32" s="151"/>
      <c r="W32" s="151">
        <f>U32*$C$32</f>
        <v>105510.06149975337</v>
      </c>
      <c r="X32" s="151"/>
      <c r="Y32" s="151">
        <f>W32*$C$32</f>
        <v>109202.91365224474</v>
      </c>
      <c r="Z32" s="151"/>
      <c r="AA32" s="151">
        <f>Y32*$C$32</f>
        <v>113025.01563007329</v>
      </c>
      <c r="AB32" s="151"/>
      <c r="AC32" s="151">
        <f>AA32*$C$32</f>
        <v>116980.89117712584</v>
      </c>
      <c r="AD32" s="151"/>
      <c r="AE32" s="151">
        <f>AC32*$C$32</f>
        <v>121075.22236832524</v>
      </c>
      <c r="AF32" s="151"/>
      <c r="AG32" s="151">
        <f>AE32*$C$32</f>
        <v>125312.85515121662</v>
      </c>
    </row>
    <row r="33" spans="1:33" s="140" customFormat="1" ht="14.25">
      <c r="A33" s="140" t="str">
        <f>Application!C904</f>
        <v>Other (Specify):</v>
      </c>
      <c r="C33" s="1227">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1602</v>
      </c>
      <c r="C35" s="153"/>
      <c r="E35" s="152">
        <f>SUM(E22:E33)</f>
        <v>1020662</v>
      </c>
      <c r="G35" s="152">
        <f>SUM(G22:G33)</f>
        <v>1054331.9449999998</v>
      </c>
      <c r="I35" s="152">
        <f>SUM(I22:I33)</f>
        <v>1089178.6205749998</v>
      </c>
      <c r="K35" s="152">
        <f>SUM(K22:K33)</f>
        <v>1125243.1779451247</v>
      </c>
      <c r="M35" s="152">
        <f>SUM(M22:M33)</f>
        <v>1162568.207936204</v>
      </c>
      <c r="O35" s="152">
        <f>SUM(O22:O33)</f>
        <v>1201197.7913522313</v>
      </c>
      <c r="Q35" s="152">
        <f>SUM(Q22:Q33)</f>
        <v>1241177.5511105843</v>
      </c>
      <c r="S35" s="152">
        <f>SUM(S22:S33)</f>
        <v>1282554.7062017005</v>
      </c>
      <c r="U35" s="152">
        <f>SUM(U22:U33)</f>
        <v>1325378.1275370505</v>
      </c>
      <c r="W35" s="152">
        <f>SUM(W22:W33)</f>
        <v>1369698.3957515033</v>
      </c>
      <c r="Y35" s="152">
        <f>SUM(Y22:Y33)</f>
        <v>1415567.8610284755</v>
      </c>
      <c r="AA35" s="152">
        <f>SUM(AA22:AA33)</f>
        <v>1463040.7050186549</v>
      </c>
      <c r="AC35" s="152">
        <f>SUM(AC22:AC33)</f>
        <v>1512173.0049255744</v>
      </c>
      <c r="AE35" s="152">
        <f>SUM(AE22:AE33)</f>
        <v>1563022.7998338616</v>
      </c>
      <c r="AG35" s="152">
        <f>SUM(AG22:AG33)</f>
        <v>1615650.159358656</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2759</v>
      </c>
      <c r="C37" s="153"/>
      <c r="E37" s="152">
        <f>E11-E35</f>
        <v>1049521</v>
      </c>
      <c r="G37" s="152">
        <f>G11-G35</f>
        <v>1067605.6300000004</v>
      </c>
      <c r="I37" s="152">
        <f>I11-I35</f>
        <v>1085807.3938</v>
      </c>
      <c r="K37" s="152">
        <f>K11-K35</f>
        <v>1104117.48678925</v>
      </c>
      <c r="M37" s="152">
        <f>M11-M35</f>
        <v>1122526.4734165301</v>
      </c>
      <c r="O37" s="152">
        <f>O11-O35</f>
        <v>1141024.2570343206</v>
      </c>
      <c r="Q37" s="152">
        <f>Q11-Q35</f>
        <v>1159600.0484856311</v>
      </c>
      <c r="S37" s="152">
        <f>S11-S35</f>
        <v>1178242.3333844198</v>
      </c>
      <c r="U37" s="152">
        <f>U11-U35</f>
        <v>1196938.8380387228</v>
      </c>
      <c r="W37" s="152">
        <f>W11-W35</f>
        <v>1215676.4939636644</v>
      </c>
      <c r="Y37" s="152">
        <f>Y11-Y35</f>
        <v>1234441.4009295709</v>
      </c>
      <c r="AA37" s="152">
        <f>AA11-AA35</f>
        <v>1253218.7884883429</v>
      </c>
      <c r="AC37" s="152">
        <f>AC11-AC35</f>
        <v>1271992.9759190979</v>
      </c>
      <c r="AE37" s="152">
        <f>AE11-AE35</f>
        <v>1290747.3305319268</v>
      </c>
      <c r="AG37" s="152">
        <f>AG11-AG35</f>
        <v>1309464.2242662772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2760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Key Bank Permanent Mortgage</v>
      </c>
      <c r="B40" s="155"/>
      <c r="C40" s="149"/>
      <c r="E40" s="151">
        <f>Application!AF635</f>
        <v>832539.92955194192</v>
      </c>
      <c r="F40" s="151"/>
      <c r="G40" s="151">
        <f>$E$40</f>
        <v>832539.92955194192</v>
      </c>
      <c r="H40" s="151"/>
      <c r="I40" s="151">
        <f>$E$40</f>
        <v>832539.92955194192</v>
      </c>
      <c r="J40" s="151"/>
      <c r="K40" s="151">
        <f>$E$40</f>
        <v>832539.92955194192</v>
      </c>
      <c r="L40" s="151"/>
      <c r="M40" s="151">
        <f>$E$40</f>
        <v>832539.92955194192</v>
      </c>
      <c r="N40" s="151"/>
      <c r="O40" s="151">
        <f>$E$40</f>
        <v>832539.92955194192</v>
      </c>
      <c r="P40" s="151"/>
      <c r="Q40" s="151">
        <f>$E$40</f>
        <v>832539.92955194192</v>
      </c>
      <c r="R40" s="151"/>
      <c r="S40" s="151">
        <f>$E$40</f>
        <v>832539.92955194192</v>
      </c>
      <c r="T40" s="151"/>
      <c r="U40" s="151">
        <f>$E$40</f>
        <v>832539.92955194192</v>
      </c>
      <c r="V40" s="151"/>
      <c r="W40" s="151">
        <f>$E$40</f>
        <v>832539.92955194192</v>
      </c>
      <c r="X40" s="151"/>
      <c r="Y40" s="151">
        <f>$E$40</f>
        <v>832539.92955194192</v>
      </c>
      <c r="Z40" s="151"/>
      <c r="AA40" s="151">
        <f>$E$40</f>
        <v>832539.92955194192</v>
      </c>
      <c r="AB40" s="151"/>
      <c r="AC40" s="151">
        <f>$E$40</f>
        <v>832539.92955194192</v>
      </c>
      <c r="AD40" s="151"/>
      <c r="AE40" s="151">
        <f>$E$40</f>
        <v>832539.92955194192</v>
      </c>
      <c r="AF40" s="151"/>
      <c r="AG40" s="151">
        <f>$E$40</f>
        <v>832539.92955194192</v>
      </c>
    </row>
    <row r="41" spans="1:33" s="140" customFormat="1" ht="14.25">
      <c r="A41" s="154" t="s">
        <v>2761</v>
      </c>
      <c r="B41" s="155"/>
      <c r="C41" s="149"/>
      <c r="E41" s="151">
        <f>Application!AF636</f>
        <v>41296.562999999995</v>
      </c>
      <c r="F41" s="151"/>
      <c r="G41" s="151">
        <f>$E$41</f>
        <v>41296.562999999995</v>
      </c>
      <c r="H41" s="151"/>
      <c r="I41" s="151">
        <f>$E$41</f>
        <v>41296.562999999995</v>
      </c>
      <c r="J41" s="151"/>
      <c r="K41" s="151">
        <f>$E$41</f>
        <v>41296.562999999995</v>
      </c>
      <c r="L41" s="151"/>
      <c r="M41" s="151">
        <f>$E$41</f>
        <v>41296.562999999995</v>
      </c>
      <c r="N41" s="151"/>
      <c r="O41" s="151">
        <f>$E$41</f>
        <v>41296.562999999995</v>
      </c>
      <c r="P41" s="151"/>
      <c r="Q41" s="151">
        <f>$E$41</f>
        <v>41296.562999999995</v>
      </c>
      <c r="R41" s="151"/>
      <c r="S41" s="151">
        <f>$E$41</f>
        <v>41296.562999999995</v>
      </c>
      <c r="T41" s="151"/>
      <c r="U41" s="151">
        <f>$E$41</f>
        <v>41296.562999999995</v>
      </c>
      <c r="V41" s="151"/>
      <c r="W41" s="151">
        <f>$E$41</f>
        <v>41296.562999999995</v>
      </c>
      <c r="X41" s="151"/>
      <c r="Y41" s="151">
        <f>$E$41</f>
        <v>41296.562999999995</v>
      </c>
      <c r="Z41" s="151"/>
      <c r="AA41" s="151">
        <f>$E$41</f>
        <v>41296.562999999995</v>
      </c>
      <c r="AB41" s="151"/>
      <c r="AC41" s="151">
        <f>$E$41</f>
        <v>41296.562999999995</v>
      </c>
      <c r="AD41" s="151"/>
      <c r="AE41" s="151">
        <f>$E$41</f>
        <v>41296.562999999995</v>
      </c>
      <c r="AF41" s="151"/>
      <c r="AG41" s="151">
        <f>$E$41</f>
        <v>41296.562999999995</v>
      </c>
    </row>
    <row r="42" spans="1:33" s="140" customFormat="1" ht="14.25">
      <c r="A42" s="154" t="s">
        <v>1462</v>
      </c>
      <c r="B42" s="155"/>
      <c r="C42" s="149"/>
      <c r="E42" s="151">
        <f>Application!AF637</f>
        <v>38560.284</v>
      </c>
      <c r="F42" s="151"/>
      <c r="G42" s="161">
        <f>$E$42</f>
        <v>38560.284</v>
      </c>
      <c r="H42" s="151"/>
      <c r="I42" s="161">
        <f>$E$42</f>
        <v>38560.284</v>
      </c>
      <c r="J42" s="151"/>
      <c r="K42" s="161">
        <f>$E$42</f>
        <v>38560.284</v>
      </c>
      <c r="L42" s="151"/>
      <c r="M42" s="161">
        <f>$E$42</f>
        <v>38560.284</v>
      </c>
      <c r="N42" s="151"/>
      <c r="O42" s="161">
        <f>$E$42</f>
        <v>38560.284</v>
      </c>
      <c r="P42" s="151"/>
      <c r="Q42" s="161">
        <f>$E$42</f>
        <v>38560.284</v>
      </c>
      <c r="R42" s="151"/>
      <c r="S42" s="161">
        <f>$E$42</f>
        <v>38560.284</v>
      </c>
      <c r="T42" s="151"/>
      <c r="U42" s="161">
        <f>$E$42</f>
        <v>38560.284</v>
      </c>
      <c r="V42" s="151"/>
      <c r="W42" s="161">
        <f>$E$42</f>
        <v>38560.284</v>
      </c>
      <c r="X42" s="151"/>
      <c r="Y42" s="161">
        <f>$E$42</f>
        <v>38560.284</v>
      </c>
      <c r="Z42" s="151"/>
      <c r="AA42" s="161">
        <f>$E$42</f>
        <v>38560.284</v>
      </c>
      <c r="AB42" s="151"/>
      <c r="AC42" s="161">
        <f>$E$42</f>
        <v>38560.284</v>
      </c>
      <c r="AD42" s="151"/>
      <c r="AE42" s="161">
        <f>$E$42</f>
        <v>38560.284</v>
      </c>
      <c r="AF42" s="151"/>
      <c r="AG42" s="161">
        <f>$E$42</f>
        <v>38560.284</v>
      </c>
    </row>
    <row r="43" spans="1:33" s="152" customFormat="1" ht="15">
      <c r="A43" s="152" t="s">
        <v>2762</v>
      </c>
      <c r="C43" s="153"/>
      <c r="E43" s="152">
        <f>SUM(E40:E42)</f>
        <v>912396.77655194188</v>
      </c>
      <c r="G43" s="152">
        <f>SUM(G40:G42)</f>
        <v>912396.77655194188</v>
      </c>
      <c r="I43" s="152">
        <f>SUM(I40:I42)</f>
        <v>912396.77655194188</v>
      </c>
      <c r="K43" s="152">
        <f>SUM(K40:K42)</f>
        <v>912396.77655194188</v>
      </c>
      <c r="M43" s="152">
        <f>SUM(M40:M42)</f>
        <v>912396.77655194188</v>
      </c>
      <c r="O43" s="152">
        <f>SUM(O40:O42)</f>
        <v>912396.77655194188</v>
      </c>
      <c r="Q43" s="152">
        <f>SUM(Q40:Q42)</f>
        <v>912396.77655194188</v>
      </c>
      <c r="S43" s="152">
        <f>SUM(S40:S42)</f>
        <v>912396.77655194188</v>
      </c>
      <c r="U43" s="152">
        <f>SUM(U40:U42)</f>
        <v>912396.77655194188</v>
      </c>
      <c r="W43" s="152">
        <f>SUM(W40:W42)</f>
        <v>912396.77655194188</v>
      </c>
      <c r="Y43" s="152">
        <f>SUM(Y40:Y42)</f>
        <v>912396.77655194188</v>
      </c>
      <c r="AA43" s="152">
        <f>SUM(AA40:AA42)</f>
        <v>912396.77655194188</v>
      </c>
      <c r="AC43" s="152">
        <f>SUM(AC40:AC42)</f>
        <v>912396.77655194188</v>
      </c>
      <c r="AE43" s="152">
        <f>SUM(AE40:AE42)</f>
        <v>912396.77655194188</v>
      </c>
      <c r="AG43" s="152">
        <f>SUM(AG40:AG42)</f>
        <v>912396.77655194188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2763</v>
      </c>
      <c r="C45" s="153"/>
      <c r="E45" s="152">
        <f>E37-E43</f>
        <v>137124.22344805812</v>
      </c>
      <c r="G45" s="152">
        <f>G37-G43</f>
        <v>155208.85344805848</v>
      </c>
      <c r="I45" s="152">
        <f>I37-I43</f>
        <v>173410.61724805809</v>
      </c>
      <c r="K45" s="152">
        <f>K37-K43</f>
        <v>191720.71023730817</v>
      </c>
      <c r="M45" s="152">
        <f>M37-M43</f>
        <v>210129.69686458819</v>
      </c>
      <c r="O45" s="152">
        <f>O37-O43</f>
        <v>228627.48048237874</v>
      </c>
      <c r="Q45" s="152">
        <f>Q37-Q43</f>
        <v>247203.27193368925</v>
      </c>
      <c r="S45" s="152">
        <f>S37-S43</f>
        <v>265845.55683247792</v>
      </c>
      <c r="U45" s="152">
        <f>U37-U43</f>
        <v>284542.06148678088</v>
      </c>
      <c r="W45" s="152">
        <f>W37-W43</f>
        <v>303279.71741172252</v>
      </c>
      <c r="Y45" s="152">
        <f>Y37-Y43</f>
        <v>322044.62437762902</v>
      </c>
      <c r="AA45" s="152">
        <f>AA37-AA43</f>
        <v>340822.01193640102</v>
      </c>
      <c r="AC45" s="152">
        <f>AC37-AC43</f>
        <v>359596.19936715602</v>
      </c>
      <c r="AE45" s="152">
        <f>AE37-AE43</f>
        <v>378350.55397998495</v>
      </c>
      <c r="AG45" s="152">
        <f>AG37-AG43</f>
        <v>397067.44771433529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2764</v>
      </c>
      <c r="C47" s="149"/>
      <c r="E47" s="156">
        <f>E45/(E4+E6+E8)</f>
        <v>6.2925843887064681E-2</v>
      </c>
      <c r="G47" s="156">
        <f>G45/(G4+G6+G8)</f>
        <v>6.9487628907111257E-2</v>
      </c>
      <c r="I47" s="156">
        <f>I45/(I4+I6+I8)</f>
        <v>7.574305549408078E-2</v>
      </c>
      <c r="K47" s="156">
        <f>K45/(K4+K6+K8)</f>
        <v>8.1698164683076918E-2</v>
      </c>
      <c r="M47" s="156">
        <f>M45/(M4+M6+M8)</f>
        <v>8.7358836222569777E-2</v>
      </c>
      <c r="O47" s="156">
        <f>O45/(O4+O6+O8)</f>
        <v>9.2730792372087922E-2</v>
      </c>
      <c r="Q47" s="156">
        <f>Q45/(Q4+Q6+Q8)</f>
        <v>9.7819601605955861E-2</v>
      </c>
      <c r="S47" s="156">
        <f>S45/(S4+S6+S8)</f>
        <v>0.1026306822253536</v>
      </c>
      <c r="U47" s="156">
        <f>U45/(U4+U6+U8)</f>
        <v>0.10716930588092706</v>
      </c>
      <c r="W47" s="156">
        <f>W45/(W4+W6+W8)</f>
        <v>0.11144060100811079</v>
      </c>
      <c r="Y47" s="156">
        <f>Y45/(Y4+Y6+Y8)</f>
        <v>0.11544955617728367</v>
      </c>
      <c r="AA47" s="156">
        <f>AA45/(AA4+AA6+AA8)</f>
        <v>0.11920102336082157</v>
      </c>
      <c r="AC47" s="156">
        <f>AC45/(AC4+AC6+AC8)</f>
        <v>0.12269972111905382</v>
      </c>
      <c r="AE47" s="156">
        <f>AE45/(AE4+AE6+AE8)</f>
        <v>0.12595023770709751</v>
      </c>
      <c r="AG47" s="156">
        <f>AG45/(AG4+AG6+AG8)</f>
        <v>0.12895703410447762</v>
      </c>
    </row>
    <row r="48" spans="1:33" s="156" customFormat="1" ht="14.25">
      <c r="A48" s="156" t="s">
        <v>2765</v>
      </c>
      <c r="C48" s="149"/>
      <c r="E48" s="156">
        <f>E45/E43</f>
        <v>0.15029012264408387</v>
      </c>
      <c r="G48" s="156">
        <f>G45/G43</f>
        <v>0.17011113743147097</v>
      </c>
      <c r="I48" s="156">
        <f>I45/I43</f>
        <v>0.19006053254966315</v>
      </c>
      <c r="K48" s="156">
        <f>K45/K43</f>
        <v>0.21012865801854758</v>
      </c>
      <c r="M48" s="156">
        <f>M45/M43</f>
        <v>0.23030517233817266</v>
      </c>
      <c r="O48" s="156">
        <f>O45/O43</f>
        <v>0.25057900943752753</v>
      </c>
      <c r="Q48" s="156">
        <f>Q45/Q43</f>
        <v>0.27093834424525304</v>
      </c>
      <c r="S48" s="156">
        <f>S45/S43</f>
        <v>0.2913705568285111</v>
      </c>
      <c r="U48" s="156">
        <f>U45/U43</f>
        <v>0.31186219504424362</v>
      </c>
      <c r="W48" s="156">
        <f>W45/W43</f>
        <v>0.33239893564492123</v>
      </c>
      <c r="Y48" s="156">
        <f>Y45/Y43</f>
        <v>0.35296554377874362</v>
      </c>
      <c r="AA48" s="156">
        <f>AA45/AA43</f>
        <v>0.37354583082199033</v>
      </c>
      <c r="AC48" s="156">
        <f>AC45/AC43</f>
        <v>0.39412261047886832</v>
      </c>
      <c r="AE48" s="156">
        <f>AE45/AE43</f>
        <v>0.41467765308182875</v>
      </c>
      <c r="AG48" s="156">
        <f>AG45/AG43</f>
        <v>0.4351916380227705</v>
      </c>
    </row>
    <row r="49" spans="1:34" s="157" customFormat="1" ht="14.25">
      <c r="A49" s="157" t="s">
        <v>2303</v>
      </c>
      <c r="C49" s="158"/>
      <c r="E49" s="157">
        <f>E37/E43</f>
        <v>1.1502901226440838</v>
      </c>
      <c r="G49" s="157">
        <f>G37/G43</f>
        <v>1.170111137431471</v>
      </c>
      <c r="I49" s="157">
        <f>I37/I43</f>
        <v>1.1900605325496632</v>
      </c>
      <c r="K49" s="157">
        <f>K37/K43</f>
        <v>1.2101286580185475</v>
      </c>
      <c r="M49" s="157">
        <f>M37/M43</f>
        <v>1.2303051723381726</v>
      </c>
      <c r="O49" s="157">
        <f>O37/O43</f>
        <v>1.2505790094375275</v>
      </c>
      <c r="Q49" s="157">
        <f>Q37/Q43</f>
        <v>1.2709383442452531</v>
      </c>
      <c r="S49" s="157">
        <f>S37/S43</f>
        <v>1.291370556828511</v>
      </c>
      <c r="U49" s="157">
        <f>U37/U43</f>
        <v>1.3118621950442437</v>
      </c>
      <c r="W49" s="157">
        <f>W37/W43</f>
        <v>1.3323989356449213</v>
      </c>
      <c r="Y49" s="157">
        <f>Y37/Y43</f>
        <v>1.3529655437787436</v>
      </c>
      <c r="AA49" s="157">
        <f>AA37/AA43</f>
        <v>1.3735458308219903</v>
      </c>
      <c r="AC49" s="157">
        <f>AC37/AC43</f>
        <v>1.3941226104788682</v>
      </c>
      <c r="AE49" s="157">
        <f>AE37/AE43</f>
        <v>1.4146776530818288</v>
      </c>
      <c r="AG49" s="157">
        <f>AG37/AG43</f>
        <v>1.4351916380227705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2766</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3" t="s">
        <v>1045</v>
      </c>
      <c r="B52" s="2613"/>
      <c r="C52" s="2613"/>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2075</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2767</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2768</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2769</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2770</v>
      </c>
      <c r="C60" s="859"/>
      <c r="E60" s="852">
        <f>E45-E58</f>
        <v>137124.22344805812</v>
      </c>
      <c r="G60" s="852">
        <f>G45-G58</f>
        <v>155208.85344805848</v>
      </c>
      <c r="I60" s="852">
        <f>I45-I58</f>
        <v>173410.61724805809</v>
      </c>
      <c r="K60" s="852">
        <f>K45-K58</f>
        <v>191720.71023730817</v>
      </c>
      <c r="M60" s="852">
        <f>M45-M58</f>
        <v>210129.69686458819</v>
      </c>
      <c r="O60" s="852">
        <f>O45-O58</f>
        <v>228627.48048237874</v>
      </c>
      <c r="Q60" s="852">
        <f>Q45-Q58</f>
        <v>247203.27193368925</v>
      </c>
      <c r="S60" s="852">
        <f>S45-S58</f>
        <v>265845.55683247792</v>
      </c>
      <c r="U60" s="852">
        <f>U45-U58</f>
        <v>284542.06148678088</v>
      </c>
      <c r="W60" s="852">
        <f>W45-W58</f>
        <v>303279.71741172252</v>
      </c>
      <c r="Y60" s="852">
        <f>Y45-Y58</f>
        <v>322044.62437762902</v>
      </c>
      <c r="AA60" s="852">
        <f>AA45-AA58</f>
        <v>340822.01193640102</v>
      </c>
      <c r="AC60" s="852">
        <f>AC45-AC58</f>
        <v>359596.19936715602</v>
      </c>
      <c r="AE60" s="852">
        <f>AE45-AE58</f>
        <v>378350.55397998495</v>
      </c>
      <c r="AG60" s="852">
        <f>AG45-AG58</f>
        <v>397067.44771433529</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2771</v>
      </c>
      <c r="C62" s="849">
        <v>0.5</v>
      </c>
      <c r="E62" s="854">
        <f>E60*$C$62</f>
        <v>68562.111724029062</v>
      </c>
      <c r="G62" s="852">
        <f>G60*$C$62</f>
        <v>77604.426724029239</v>
      </c>
      <c r="I62" s="852">
        <f>I60*$C$62</f>
        <v>86705.308624029043</v>
      </c>
      <c r="K62" s="852">
        <f>K60*$C$62</f>
        <v>95860.355118654086</v>
      </c>
      <c r="M62" s="852">
        <f>M60*$C$62</f>
        <v>105064.84843229409</v>
      </c>
      <c r="O62" s="852">
        <f>O60*$C$62</f>
        <v>114313.74024118937</v>
      </c>
      <c r="Q62" s="852">
        <f>Q60*$C$62</f>
        <v>123601.63596684462</v>
      </c>
      <c r="S62" s="852">
        <f>S60*$C$62</f>
        <v>132922.77841623896</v>
      </c>
      <c r="U62" s="852">
        <f>U60*$C$62</f>
        <v>142271.03074339044</v>
      </c>
      <c r="W62" s="852">
        <f>W60*$C$62</f>
        <v>151639.85870586126</v>
      </c>
      <c r="Y62" s="852">
        <f>Y60*$C$62</f>
        <v>161022.31218881451</v>
      </c>
      <c r="AA62" s="852">
        <f>AA60*$C$62</f>
        <v>170411.00596820051</v>
      </c>
      <c r="AC62" s="852">
        <f>AC60*$C$62</f>
        <v>179798.09968357801</v>
      </c>
      <c r="AE62" s="852">
        <f>AE60*$C$62</f>
        <v>189175.27698999248</v>
      </c>
      <c r="AG62" s="852">
        <f>AG60*$C$62</f>
        <v>198533.72385716764</v>
      </c>
    </row>
    <row r="63" spans="1:34" s="852" customFormat="1">
      <c r="A63" s="2613" t="s">
        <v>1045</v>
      </c>
      <c r="B63" s="2613"/>
      <c r="C63" s="2613"/>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2772</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34281.055862014531</v>
      </c>
      <c r="G66" s="850">
        <f>G60*$C$65</f>
        <v>38802.21336201462</v>
      </c>
      <c r="I66" s="850">
        <f>I60*$C$65</f>
        <v>43352.654312014522</v>
      </c>
      <c r="K66" s="850">
        <f>K60*$C$65</f>
        <v>47930.177559327043</v>
      </c>
      <c r="M66" s="850">
        <f>M60*$C$65</f>
        <v>52532.424216147047</v>
      </c>
      <c r="O66" s="850">
        <f>O60*$C$65</f>
        <v>57156.870120594685</v>
      </c>
      <c r="Q66" s="850">
        <f>Q60*$C$65</f>
        <v>61800.817983422312</v>
      </c>
      <c r="S66" s="850">
        <f>S60*$C$65</f>
        <v>66461.389208119479</v>
      </c>
      <c r="U66" s="850">
        <f>U60*$C$65</f>
        <v>71135.515371695219</v>
      </c>
      <c r="W66" s="850">
        <f>W60*$C$65</f>
        <v>75819.929352930631</v>
      </c>
      <c r="Y66" s="850">
        <f>Y60*$C$65</f>
        <v>80511.156094407255</v>
      </c>
      <c r="AA66" s="850">
        <f>AA60*$C$65</f>
        <v>85205.502984100254</v>
      </c>
      <c r="AC66" s="850">
        <f>AC60*$C$65</f>
        <v>89899.049841789005</v>
      </c>
      <c r="AE66" s="850">
        <f>AE60*$C$65</f>
        <v>94587.638494996238</v>
      </c>
      <c r="AG66" s="850">
        <f>AG60*$C$65</f>
        <v>99266.861928583821</v>
      </c>
    </row>
    <row r="67" spans="1:34" s="850" customFormat="1">
      <c r="A67" s="855"/>
      <c r="B67" s="855"/>
      <c r="C67" s="860"/>
      <c r="E67" s="854">
        <f>$E60*$C$65</f>
        <v>34281.055862014531</v>
      </c>
      <c r="G67" s="850">
        <f>G60*$C$65</f>
        <v>38802.21336201462</v>
      </c>
      <c r="I67" s="850">
        <f>I60*$C$65</f>
        <v>43352.654312014522</v>
      </c>
      <c r="K67" s="850">
        <f>K60*$C$65</f>
        <v>47930.177559327043</v>
      </c>
      <c r="M67" s="850">
        <f>M60*$C$65</f>
        <v>52532.424216147047</v>
      </c>
      <c r="O67" s="850">
        <f>O60*$C$65</f>
        <v>57156.870120594685</v>
      </c>
      <c r="Q67" s="850">
        <f>Q60*$C$65</f>
        <v>61800.817983422312</v>
      </c>
      <c r="S67" s="850">
        <f>S60*$C$65</f>
        <v>66461.389208119479</v>
      </c>
      <c r="U67" s="850">
        <f>U60*$C$65</f>
        <v>71135.515371695219</v>
      </c>
      <c r="W67" s="850">
        <f>W60*$C$65</f>
        <v>75819.929352930631</v>
      </c>
      <c r="Y67" s="850">
        <f>Y60*$C$65</f>
        <v>80511.156094407255</v>
      </c>
      <c r="AA67" s="850">
        <f>AA60*$C$65</f>
        <v>85205.502984100254</v>
      </c>
      <c r="AC67" s="850">
        <f>AC60*$C$65</f>
        <v>89899.049841789005</v>
      </c>
      <c r="AE67" s="850">
        <f>AE60*$C$65</f>
        <v>94587.638494996238</v>
      </c>
      <c r="AG67" s="850">
        <f>AG60*$C$65</f>
        <v>99266.861928583821</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2769</v>
      </c>
      <c r="C70" s="860"/>
      <c r="E70" s="850">
        <f>SUM(E66:E69)</f>
        <v>68562.111724029062</v>
      </c>
      <c r="G70" s="850">
        <f>SUM(G66:G69)</f>
        <v>77604.426724029239</v>
      </c>
      <c r="I70" s="850">
        <f>SUM(I66:I69)</f>
        <v>86705.308624029043</v>
      </c>
      <c r="K70" s="850">
        <f>SUM(K66:K69)</f>
        <v>95860.355118654086</v>
      </c>
      <c r="M70" s="850">
        <f>SUM(M66:M69)</f>
        <v>105064.84843229409</v>
      </c>
      <c r="O70" s="850">
        <f>SUM(O66:O69)</f>
        <v>114313.74024118937</v>
      </c>
      <c r="Q70" s="850">
        <f>SUM(Q66:Q69)</f>
        <v>123601.63596684462</v>
      </c>
      <c r="S70" s="850">
        <f>SUM(S66:S69)</f>
        <v>132922.77841623896</v>
      </c>
      <c r="U70" s="850">
        <f>SUM(U66:U69)</f>
        <v>142271.03074339044</v>
      </c>
      <c r="W70" s="850">
        <f>SUM(W66:W69)</f>
        <v>151639.85870586126</v>
      </c>
      <c r="Y70" s="850">
        <f>SUM(Y66:Y69)</f>
        <v>161022.31218881451</v>
      </c>
      <c r="AA70" s="850">
        <f>SUM(AA66:AA69)</f>
        <v>170411.00596820051</v>
      </c>
      <c r="AC70" s="850">
        <f>SUM(AC66:AC69)</f>
        <v>179798.09968357801</v>
      </c>
      <c r="AE70" s="850">
        <f>SUM(AE66:AE69)</f>
        <v>189175.27698999248</v>
      </c>
      <c r="AG70" s="850">
        <f>SUM(AG66:AG69)</f>
        <v>198533.72385716764</v>
      </c>
    </row>
    <row r="71" spans="1:34" s="850" customFormat="1">
      <c r="A71" s="852"/>
      <c r="C71" s="860"/>
    </row>
    <row r="72" spans="1:34" s="850" customFormat="1">
      <c r="A72" s="852" t="s">
        <v>2773</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2774</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2" t="s">
        <v>2775</v>
      </c>
      <c r="B77" s="2612"/>
      <c r="C77" s="2612"/>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122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2776</v>
      </c>
    </row>
    <row r="2" spans="1:1" ht="15.75">
      <c r="A2" s="221"/>
    </row>
    <row r="3" spans="1:1" ht="15.75">
      <c r="A3" s="222" t="s">
        <v>2777</v>
      </c>
    </row>
    <row r="4" spans="1:1" ht="15.75">
      <c r="A4" s="222" t="s">
        <v>2778</v>
      </c>
    </row>
    <row r="5" spans="1:1" ht="15.75">
      <c r="A5" s="222" t="s">
        <v>2779</v>
      </c>
    </row>
    <row r="6" spans="1:1" ht="15.75">
      <c r="A6" s="222" t="s">
        <v>2780</v>
      </c>
    </row>
    <row r="7" spans="1:1" ht="15.75">
      <c r="A7" s="222" t="s">
        <v>2781</v>
      </c>
    </row>
    <row r="8" spans="1:1" ht="15.75">
      <c r="A8" s="249" t="s">
        <v>2782</v>
      </c>
    </row>
    <row r="9" spans="1:1" ht="15.75">
      <c r="A9" s="222" t="s">
        <v>2783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2784</v>
      </c>
      <c r="D1" s="192"/>
    </row>
    <row r="2" spans="1:6" s="187" customFormat="1">
      <c r="A2" s="171" t="s">
        <v>2785</v>
      </c>
      <c r="B2" s="173"/>
      <c r="C2" s="173"/>
      <c r="D2" s="170"/>
      <c r="E2" s="174"/>
      <c r="F2" s="173"/>
    </row>
    <row r="3" spans="1:6" s="254" customFormat="1" ht="80.25" customHeight="1">
      <c r="A3" s="189"/>
      <c r="B3" s="175" t="s">
        <v>2786</v>
      </c>
      <c r="C3" s="175" t="s">
        <v>2787</v>
      </c>
      <c r="D3" s="175" t="s">
        <v>2788</v>
      </c>
      <c r="E3" s="172" t="s">
        <v>2789</v>
      </c>
      <c r="F3" s="172"/>
    </row>
    <row r="4" spans="1:6" s="255" customFormat="1">
      <c r="A4" s="176" t="s">
        <v>1789</v>
      </c>
      <c r="B4" s="176"/>
      <c r="C4" s="176"/>
      <c r="D4" s="176"/>
      <c r="E4" s="194"/>
      <c r="F4" s="176"/>
    </row>
    <row r="5" spans="1:6" s="255" customFormat="1">
      <c r="A5" s="267" t="s">
        <v>1790</v>
      </c>
      <c r="B5" s="178">
        <f>'Sources and Uses Budget'!$C4</f>
        <v>1805673</v>
      </c>
      <c r="C5" s="178">
        <f>'Sources and Uses Budget'!$C4</f>
        <v>1805673</v>
      </c>
      <c r="D5" s="182">
        <f>C5-B5</f>
        <v>0</v>
      </c>
      <c r="E5" s="180"/>
      <c r="F5" s="179"/>
    </row>
    <row r="6" spans="1:6" s="255" customFormat="1">
      <c r="A6" s="267" t="s">
        <v>697</v>
      </c>
      <c r="B6" s="178">
        <f>'Sources and Uses Budget'!$C5</f>
        <v>0</v>
      </c>
      <c r="C6" s="178">
        <f>'Sources and Uses Budget'!$C5</f>
        <v>0</v>
      </c>
      <c r="D6" s="182">
        <f t="shared" ref="D6:D77" si="0">C6-B6</f>
        <v>0</v>
      </c>
      <c r="E6" s="180"/>
      <c r="F6" s="179"/>
    </row>
    <row r="7" spans="1:6" s="255" customFormat="1">
      <c r="A7" s="267" t="s">
        <v>1791</v>
      </c>
      <c r="B7" s="178">
        <f>'Sources and Uses Budget'!$C6</f>
        <v>41196</v>
      </c>
      <c r="C7" s="178">
        <f>'Sources and Uses Budget'!$C6</f>
        <v>41196</v>
      </c>
      <c r="D7" s="182">
        <f t="shared" si="0"/>
        <v>0</v>
      </c>
      <c r="E7" s="180"/>
      <c r="F7" s="179"/>
    </row>
    <row r="8" spans="1:6" s="255" customFormat="1">
      <c r="A8" s="267" t="s">
        <v>1792</v>
      </c>
      <c r="B8" s="178">
        <f>'Sources and Uses Budget'!$C7</f>
        <v>0</v>
      </c>
      <c r="C8" s="178">
        <f>'Sources and Uses Budget'!$C7</f>
        <v>0</v>
      </c>
      <c r="D8" s="182">
        <f t="shared" si="0"/>
        <v>0</v>
      </c>
      <c r="E8" s="180"/>
      <c r="F8" s="179"/>
    </row>
    <row r="9" spans="1:6" s="255" customFormat="1">
      <c r="A9" s="268" t="s">
        <v>1793</v>
      </c>
      <c r="B9" s="182">
        <f>SUM(B5:B8)</f>
        <v>1846869</v>
      </c>
      <c r="C9" s="182">
        <f>SUM(C5:C8)</f>
        <v>1846869</v>
      </c>
      <c r="D9" s="182">
        <f t="shared" si="0"/>
        <v>0</v>
      </c>
      <c r="E9" s="180"/>
      <c r="F9" s="179"/>
    </row>
    <row r="10" spans="1:6" s="255" customFormat="1">
      <c r="A10" s="267" t="s">
        <v>1794</v>
      </c>
      <c r="B10" s="178">
        <f>'Sources and Uses Budget'!$C9</f>
        <v>0</v>
      </c>
      <c r="C10" s="178">
        <f>'Sources and Uses Budget'!$C9</f>
        <v>0</v>
      </c>
      <c r="D10" s="182">
        <f t="shared" si="0"/>
        <v>0</v>
      </c>
      <c r="E10" s="180"/>
      <c r="F10" s="179"/>
    </row>
    <row r="11" spans="1:6" s="255" customFormat="1">
      <c r="A11" s="267" t="s">
        <v>1795</v>
      </c>
      <c r="B11" s="178">
        <f>'Sources and Uses Budget'!$C10</f>
        <v>0</v>
      </c>
      <c r="C11" s="178">
        <f>'Sources and Uses Budget'!$C10</f>
        <v>0</v>
      </c>
      <c r="D11" s="182">
        <f t="shared" si="0"/>
        <v>0</v>
      </c>
      <c r="E11" s="180"/>
      <c r="F11" s="179"/>
    </row>
    <row r="12" spans="1:6" s="255" customFormat="1">
      <c r="A12" s="268" t="s">
        <v>1796</v>
      </c>
      <c r="B12" s="182">
        <f>SUM(B10:B11)</f>
        <v>0</v>
      </c>
      <c r="C12" s="182">
        <f>SUM(C10:C11)</f>
        <v>0</v>
      </c>
      <c r="D12" s="182">
        <f t="shared" si="0"/>
        <v>0</v>
      </c>
      <c r="E12" s="180"/>
      <c r="F12" s="179"/>
    </row>
    <row r="13" spans="1:6" s="255" customFormat="1">
      <c r="A13" s="268" t="s">
        <v>1797</v>
      </c>
      <c r="B13" s="182">
        <f>SUM(B9+B12)</f>
        <v>1846869</v>
      </c>
      <c r="C13" s="182">
        <f>SUM(C9+C12)</f>
        <v>1846869</v>
      </c>
      <c r="D13" s="182">
        <f t="shared" si="0"/>
        <v>0</v>
      </c>
      <c r="E13" s="180"/>
      <c r="F13" s="179"/>
    </row>
    <row r="14" spans="1:6" s="255" customFormat="1">
      <c r="A14" s="269" t="s">
        <v>1798</v>
      </c>
      <c r="B14" s="178">
        <f>'Sources and Uses Budget'!$C13</f>
        <v>956980</v>
      </c>
      <c r="C14" s="178">
        <f>'Sources and Uses Budget'!$C13</f>
        <v>956980</v>
      </c>
      <c r="D14" s="182">
        <f t="shared" si="0"/>
        <v>0</v>
      </c>
      <c r="E14" s="180"/>
      <c r="F14" s="179"/>
    </row>
    <row r="15" spans="1:6" s="255" customFormat="1" ht="24">
      <c r="A15" s="267" t="s">
        <v>1916</v>
      </c>
      <c r="B15" s="178">
        <f>'Sources and Uses Budget'!$C14</f>
        <v>0</v>
      </c>
      <c r="C15" s="178">
        <f>'Sources and Uses Budget'!$C14</f>
        <v>0</v>
      </c>
      <c r="D15" s="182">
        <f t="shared" si="0"/>
        <v>0</v>
      </c>
      <c r="E15" s="180"/>
      <c r="F15" s="179"/>
    </row>
    <row r="16" spans="1:6" s="255" customFormat="1">
      <c r="A16" s="267" t="s">
        <v>1800</v>
      </c>
      <c r="B16" s="178">
        <f>'Sources and Uses Budget'!$C15</f>
        <v>0</v>
      </c>
      <c r="C16" s="178">
        <f>'Sources and Uses Budget'!$C15</f>
        <v>0</v>
      </c>
      <c r="D16" s="182">
        <f t="shared" si="0"/>
        <v>0</v>
      </c>
      <c r="E16" s="180"/>
      <c r="F16" s="179"/>
    </row>
    <row r="17" spans="1:6" s="255" customFormat="1">
      <c r="A17" s="176" t="s">
        <v>1801</v>
      </c>
      <c r="B17" s="176"/>
      <c r="C17" s="176"/>
      <c r="D17" s="176"/>
      <c r="E17" s="194"/>
      <c r="F17" s="176"/>
    </row>
    <row r="18" spans="1:6" s="255" customFormat="1">
      <c r="A18" s="195" t="s">
        <v>1802</v>
      </c>
      <c r="B18" s="178">
        <f>'Sources and Uses Budget'!$C17</f>
        <v>0</v>
      </c>
      <c r="C18" s="178">
        <f>'Sources and Uses Budget'!$C17</f>
        <v>0</v>
      </c>
      <c r="D18" s="182">
        <f t="shared" si="0"/>
        <v>0</v>
      </c>
      <c r="E18" s="180"/>
      <c r="F18" s="179"/>
    </row>
    <row r="19" spans="1:6" s="255" customFormat="1">
      <c r="A19" s="195" t="s">
        <v>1803</v>
      </c>
      <c r="B19" s="178">
        <f>'Sources and Uses Budget'!$C18</f>
        <v>0</v>
      </c>
      <c r="C19" s="178">
        <f>'Sources and Uses Budget'!$C18</f>
        <v>0</v>
      </c>
      <c r="D19" s="182">
        <f t="shared" si="0"/>
        <v>0</v>
      </c>
      <c r="E19" s="180"/>
      <c r="F19" s="179"/>
    </row>
    <row r="20" spans="1:6" s="255" customFormat="1">
      <c r="A20" s="195" t="s">
        <v>1804</v>
      </c>
      <c r="B20" s="178">
        <f>'Sources and Uses Budget'!$C19</f>
        <v>0</v>
      </c>
      <c r="C20" s="178">
        <f>'Sources and Uses Budget'!$C19</f>
        <v>0</v>
      </c>
      <c r="D20" s="182">
        <f t="shared" si="0"/>
        <v>0</v>
      </c>
      <c r="E20" s="180"/>
      <c r="F20" s="179"/>
    </row>
    <row r="21" spans="1:6" s="255" customFormat="1">
      <c r="A21" s="195" t="s">
        <v>1805</v>
      </c>
      <c r="B21" s="178">
        <f>'Sources and Uses Budget'!$C20</f>
        <v>0</v>
      </c>
      <c r="C21" s="178">
        <f>'Sources and Uses Budget'!$C20</f>
        <v>0</v>
      </c>
      <c r="D21" s="182">
        <f t="shared" si="0"/>
        <v>0</v>
      </c>
      <c r="E21" s="180"/>
      <c r="F21" s="179"/>
    </row>
    <row r="22" spans="1:6" s="255" customFormat="1">
      <c r="A22" s="195" t="s">
        <v>1806</v>
      </c>
      <c r="B22" s="178">
        <f>'Sources and Uses Budget'!$C21</f>
        <v>0</v>
      </c>
      <c r="C22" s="178">
        <f>'Sources and Uses Budget'!$C21</f>
        <v>0</v>
      </c>
      <c r="D22" s="182">
        <f t="shared" si="0"/>
        <v>0</v>
      </c>
      <c r="E22" s="180"/>
      <c r="F22" s="179"/>
    </row>
    <row r="23" spans="1:6" s="255" customFormat="1">
      <c r="A23" s="195" t="s">
        <v>1807</v>
      </c>
      <c r="B23" s="178">
        <f>'Sources and Uses Budget'!$C22</f>
        <v>0</v>
      </c>
      <c r="C23" s="178">
        <f>'Sources and Uses Budget'!$C22</f>
        <v>0</v>
      </c>
      <c r="D23" s="182">
        <f t="shared" si="0"/>
        <v>0</v>
      </c>
      <c r="E23" s="180"/>
      <c r="F23" s="179"/>
    </row>
    <row r="24" spans="1:6" s="255" customFormat="1">
      <c r="A24" s="195" t="s">
        <v>1808</v>
      </c>
      <c r="B24" s="178">
        <f>'Sources and Uses Budget'!$C23</f>
        <v>0</v>
      </c>
      <c r="C24" s="178">
        <f>'Sources and Uses Budget'!$C23</f>
        <v>0</v>
      </c>
      <c r="D24" s="182">
        <f t="shared" si="0"/>
        <v>0</v>
      </c>
      <c r="E24" s="180"/>
      <c r="F24" s="179"/>
    </row>
    <row r="25" spans="1:6" s="255" customFormat="1">
      <c r="A25" s="409" t="s">
        <v>1809</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1811</v>
      </c>
      <c r="B27" s="182">
        <f>SUM(B18:B26)</f>
        <v>0</v>
      </c>
      <c r="C27" s="182">
        <f>SUM(C18:C26)</f>
        <v>0</v>
      </c>
      <c r="D27" s="182">
        <f>SUM(D18:D26)</f>
        <v>0</v>
      </c>
      <c r="E27" s="180"/>
      <c r="F27" s="179"/>
    </row>
    <row r="28" spans="1:6" s="255" customFormat="1">
      <c r="A28" s="183" t="s">
        <v>1812</v>
      </c>
      <c r="B28" s="178">
        <f>'Sources and Uses Budget'!$C$27</f>
        <v>0</v>
      </c>
      <c r="C28" s="178">
        <f>'Sources and Uses Budget'!$C$27</f>
        <v>0</v>
      </c>
      <c r="D28" s="182">
        <f t="shared" si="0"/>
        <v>0</v>
      </c>
      <c r="E28" s="180"/>
      <c r="F28" s="179"/>
    </row>
    <row r="29" spans="1:6" s="255" customFormat="1">
      <c r="A29" s="176" t="s">
        <v>1813</v>
      </c>
      <c r="B29" s="176"/>
      <c r="C29" s="176"/>
      <c r="D29" s="176"/>
      <c r="E29" s="194"/>
      <c r="F29" s="176"/>
    </row>
    <row r="30" spans="1:6" s="255" customFormat="1">
      <c r="A30" s="195" t="s">
        <v>1802</v>
      </c>
      <c r="B30" s="178">
        <f>'Sources and Uses Budget'!$C29</f>
        <v>6152485</v>
      </c>
      <c r="C30" s="178">
        <f>'Sources and Uses Budget'!$C29</f>
        <v>6152485</v>
      </c>
      <c r="D30" s="182">
        <f t="shared" si="0"/>
        <v>0</v>
      </c>
      <c r="E30" s="180"/>
      <c r="F30" s="179"/>
    </row>
    <row r="31" spans="1:6" s="255" customFormat="1">
      <c r="A31" s="195" t="s">
        <v>1803</v>
      </c>
      <c r="B31" s="178">
        <f>'Sources and Uses Budget'!$C30</f>
        <v>41536164</v>
      </c>
      <c r="C31" s="178">
        <f>'Sources and Uses Budget'!$C30</f>
        <v>41536164</v>
      </c>
      <c r="D31" s="182">
        <f t="shared" si="0"/>
        <v>0</v>
      </c>
      <c r="E31" s="180"/>
      <c r="F31" s="179"/>
    </row>
    <row r="32" spans="1:6" s="255" customFormat="1">
      <c r="A32" s="195" t="s">
        <v>1804</v>
      </c>
      <c r="B32" s="178">
        <f>'Sources and Uses Budget'!$C31</f>
        <v>1757046</v>
      </c>
      <c r="C32" s="178">
        <f>'Sources and Uses Budget'!$C31</f>
        <v>1757046</v>
      </c>
      <c r="D32" s="182">
        <f t="shared" si="0"/>
        <v>0</v>
      </c>
      <c r="E32" s="180"/>
      <c r="F32" s="179"/>
    </row>
    <row r="33" spans="1:6" s="255" customFormat="1">
      <c r="A33" s="195" t="s">
        <v>1805</v>
      </c>
      <c r="B33" s="178">
        <f>'Sources and Uses Budget'!$C32</f>
        <v>1186022</v>
      </c>
      <c r="C33" s="178">
        <f>'Sources and Uses Budget'!$C32</f>
        <v>1186022</v>
      </c>
      <c r="D33" s="182">
        <f t="shared" si="0"/>
        <v>0</v>
      </c>
      <c r="E33" s="180"/>
      <c r="F33" s="179"/>
    </row>
    <row r="34" spans="1:6" s="255" customFormat="1">
      <c r="A34" s="195" t="s">
        <v>1806</v>
      </c>
      <c r="B34" s="178">
        <f>'Sources and Uses Budget'!$C33</f>
        <v>1186022</v>
      </c>
      <c r="C34" s="178">
        <f>'Sources and Uses Budget'!$C33</f>
        <v>1186022</v>
      </c>
      <c r="D34" s="182">
        <f t="shared" si="0"/>
        <v>0</v>
      </c>
      <c r="E34" s="180"/>
      <c r="F34" s="179"/>
    </row>
    <row r="35" spans="1:6" s="255" customFormat="1">
      <c r="A35" s="195" t="s">
        <v>1807</v>
      </c>
      <c r="B35" s="178">
        <f>'Sources and Uses Budget'!$C34</f>
        <v>0</v>
      </c>
      <c r="C35" s="178">
        <f>'Sources and Uses Budget'!$C34</f>
        <v>0</v>
      </c>
      <c r="D35" s="182">
        <f t="shared" si="0"/>
        <v>0</v>
      </c>
      <c r="E35" s="180"/>
      <c r="F35" s="179"/>
    </row>
    <row r="36" spans="1:6" s="255" customFormat="1">
      <c r="A36" s="195" t="s">
        <v>1808</v>
      </c>
      <c r="B36" s="178">
        <f>'Sources and Uses Budget'!$C35</f>
        <v>839813</v>
      </c>
      <c r="C36" s="178">
        <f>'Sources and Uses Budget'!$C35</f>
        <v>839813</v>
      </c>
      <c r="D36" s="182">
        <f t="shared" si="0"/>
        <v>0</v>
      </c>
      <c r="E36" s="180"/>
      <c r="F36" s="179"/>
    </row>
    <row r="37" spans="1:6" s="255" customFormat="1">
      <c r="A37" s="195" t="s">
        <v>1809</v>
      </c>
      <c r="B37" s="178">
        <f>'Sources and Uses Budget'!$C36</f>
        <v>274135</v>
      </c>
      <c r="C37" s="178">
        <f>'Sources and Uses Budget'!$C36</f>
        <v>274135</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1814</v>
      </c>
      <c r="B39" s="182">
        <f>SUM(B30:B38)</f>
        <v>52931687</v>
      </c>
      <c r="C39" s="182">
        <f>SUM(C30:C38)</f>
        <v>52931687</v>
      </c>
      <c r="D39" s="182">
        <f t="shared" si="0"/>
        <v>0</v>
      </c>
      <c r="E39" s="180"/>
      <c r="F39" s="179"/>
    </row>
    <row r="40" spans="1:6" s="255" customFormat="1">
      <c r="A40" s="176" t="s">
        <v>1815</v>
      </c>
      <c r="B40" s="176"/>
      <c r="C40" s="176"/>
      <c r="D40" s="176"/>
      <c r="E40" s="194"/>
      <c r="F40" s="176"/>
    </row>
    <row r="41" spans="1:6" s="255" customFormat="1">
      <c r="A41" s="181" t="s">
        <v>1816</v>
      </c>
      <c r="B41" s="178">
        <f>'Sources and Uses Budget'!$C40</f>
        <v>1462459</v>
      </c>
      <c r="C41" s="178">
        <f>'Sources and Uses Budget'!$C40</f>
        <v>1462459</v>
      </c>
      <c r="D41" s="182">
        <f t="shared" si="0"/>
        <v>0</v>
      </c>
      <c r="E41" s="180"/>
      <c r="F41" s="179"/>
    </row>
    <row r="42" spans="1:6" s="255" customFormat="1">
      <c r="A42" s="181" t="s">
        <v>1817</v>
      </c>
      <c r="B42" s="178">
        <f>'Sources and Uses Budget'!$C41</f>
        <v>0</v>
      </c>
      <c r="C42" s="178">
        <f>'Sources and Uses Budget'!$C41</f>
        <v>0</v>
      </c>
      <c r="D42" s="182">
        <f t="shared" si="0"/>
        <v>0</v>
      </c>
      <c r="E42" s="180"/>
      <c r="F42" s="179"/>
    </row>
    <row r="43" spans="1:6" s="255" customFormat="1">
      <c r="A43" s="183" t="s">
        <v>1818</v>
      </c>
      <c r="B43" s="182">
        <f>SUM(B41:B42)</f>
        <v>1462459</v>
      </c>
      <c r="C43" s="182">
        <f>SUM(C41:C42)</f>
        <v>1462459</v>
      </c>
      <c r="D43" s="182">
        <f t="shared" si="0"/>
        <v>0</v>
      </c>
      <c r="E43" s="180"/>
      <c r="F43" s="179"/>
    </row>
    <row r="44" spans="1:6" s="255" customFormat="1">
      <c r="A44" s="183" t="s">
        <v>1819</v>
      </c>
      <c r="B44" s="178">
        <f>'Sources and Uses Budget'!$C43</f>
        <v>340872</v>
      </c>
      <c r="C44" s="178">
        <f>'Sources and Uses Budget'!$C43</f>
        <v>340872</v>
      </c>
      <c r="D44" s="182">
        <f t="shared" si="0"/>
        <v>0</v>
      </c>
      <c r="E44" s="180"/>
      <c r="F44" s="179"/>
    </row>
    <row r="45" spans="1:6" s="255" customFormat="1" ht="12" customHeight="1">
      <c r="A45" s="176" t="s">
        <v>1820</v>
      </c>
      <c r="B45" s="176"/>
      <c r="C45" s="176"/>
      <c r="D45" s="176"/>
      <c r="E45" s="194"/>
      <c r="F45" s="176"/>
    </row>
    <row r="46" spans="1:6" s="255" customFormat="1">
      <c r="A46" s="195" t="s">
        <v>1821</v>
      </c>
      <c r="B46" s="178">
        <f>'Sources and Uses Budget'!$C45</f>
        <v>5450762</v>
      </c>
      <c r="C46" s="178">
        <f>'Sources and Uses Budget'!$C45</f>
        <v>5450762</v>
      </c>
      <c r="D46" s="182">
        <f t="shared" si="0"/>
        <v>0</v>
      </c>
      <c r="E46" s="180"/>
      <c r="F46" s="179"/>
    </row>
    <row r="47" spans="1:6" s="255" customFormat="1">
      <c r="A47" s="195" t="s">
        <v>1822</v>
      </c>
      <c r="B47" s="178">
        <f>'Sources and Uses Budget'!$C46</f>
        <v>478963</v>
      </c>
      <c r="C47" s="178">
        <f>'Sources and Uses Budget'!$C46</f>
        <v>478963</v>
      </c>
      <c r="D47" s="182">
        <f t="shared" si="0"/>
        <v>0</v>
      </c>
      <c r="E47" s="180"/>
      <c r="F47" s="179"/>
    </row>
    <row r="48" spans="1:6" s="255" customFormat="1" ht="12" customHeight="1">
      <c r="A48" s="1211" t="s">
        <v>1823</v>
      </c>
      <c r="B48" s="178">
        <f>'Sources and Uses Budget'!$C47</f>
        <v>0</v>
      </c>
      <c r="C48" s="178">
        <f>'Sources and Uses Budget'!$C47</f>
        <v>0</v>
      </c>
      <c r="D48" s="182">
        <f t="shared" si="0"/>
        <v>0</v>
      </c>
      <c r="E48" s="180"/>
      <c r="F48" s="179"/>
    </row>
    <row r="49" spans="1:6" s="255" customFormat="1">
      <c r="A49" s="195" t="s">
        <v>1824</v>
      </c>
      <c r="B49" s="178">
        <f>'Sources and Uses Budget'!$C48</f>
        <v>0</v>
      </c>
      <c r="C49" s="178">
        <f>'Sources and Uses Budget'!$C48</f>
        <v>0</v>
      </c>
      <c r="D49" s="182">
        <f t="shared" si="0"/>
        <v>0</v>
      </c>
      <c r="E49" s="180"/>
      <c r="F49" s="179"/>
    </row>
    <row r="50" spans="1:6" s="255" customFormat="1">
      <c r="A50" s="195" t="s">
        <v>1825</v>
      </c>
      <c r="B50" s="178">
        <f>'Sources and Uses Budget'!$C49</f>
        <v>393764</v>
      </c>
      <c r="C50" s="178">
        <f>'Sources and Uses Budget'!$C49</f>
        <v>393764</v>
      </c>
      <c r="D50" s="182">
        <f t="shared" si="0"/>
        <v>0</v>
      </c>
      <c r="E50" s="180"/>
      <c r="F50" s="179"/>
    </row>
    <row r="51" spans="1:6" s="255" customFormat="1">
      <c r="A51" s="195" t="s">
        <v>1826</v>
      </c>
      <c r="B51" s="178">
        <f>'Sources and Uses Budget'!$C50</f>
        <v>145000</v>
      </c>
      <c r="C51" s="178">
        <f>'Sources and Uses Budget'!$C50</f>
        <v>145000</v>
      </c>
      <c r="D51" s="182">
        <f t="shared" si="0"/>
        <v>0</v>
      </c>
      <c r="E51" s="180"/>
      <c r="F51" s="179"/>
    </row>
    <row r="52" spans="1:6" s="255" customFormat="1">
      <c r="A52" s="195" t="s">
        <v>1827</v>
      </c>
      <c r="B52" s="178">
        <f>'Sources and Uses Budget'!$C51</f>
        <v>180000</v>
      </c>
      <c r="C52" s="178">
        <f>'Sources and Uses Budget'!$C51</f>
        <v>180000</v>
      </c>
      <c r="D52" s="182">
        <f t="shared" si="0"/>
        <v>0</v>
      </c>
      <c r="E52" s="180"/>
      <c r="F52" s="179"/>
    </row>
    <row r="53" spans="1:6" s="255" customFormat="1">
      <c r="A53" s="195" t="s">
        <v>1586</v>
      </c>
      <c r="B53" s="178">
        <f>'Sources and Uses Budget'!$C52</f>
        <v>1581699</v>
      </c>
      <c r="C53" s="178">
        <f>'Sources and Uses Budget'!$C52</f>
        <v>1581699</v>
      </c>
      <c r="D53" s="182">
        <f t="shared" si="0"/>
        <v>0</v>
      </c>
      <c r="E53" s="180"/>
      <c r="F53" s="179"/>
    </row>
    <row r="54" spans="1:6" s="255" customFormat="1">
      <c r="A54" s="409" t="str">
        <f>'Sources and Uses Budget'!A53</f>
        <v>Other: (Soft Loan Accrued Interest)</v>
      </c>
      <c r="B54" s="178">
        <f>'Sources and Uses Budget'!$C53</f>
        <v>467044</v>
      </c>
      <c r="C54" s="178">
        <f>'Sources and Uses Budget'!$C53</f>
        <v>467044</v>
      </c>
      <c r="D54" s="182">
        <f t="shared" si="0"/>
        <v>0</v>
      </c>
      <c r="E54" s="180"/>
      <c r="F54" s="179"/>
    </row>
    <row r="55" spans="1:6" s="256" customFormat="1">
      <c r="A55" s="183" t="s">
        <v>1829</v>
      </c>
      <c r="B55" s="185">
        <f>SUM(B46:B54)</f>
        <v>8697232</v>
      </c>
      <c r="C55" s="185">
        <f>SUM(C46:C54)</f>
        <v>8697232</v>
      </c>
      <c r="D55" s="182">
        <f t="shared" si="0"/>
        <v>0</v>
      </c>
      <c r="E55" s="180"/>
      <c r="F55" s="179"/>
    </row>
    <row r="56" spans="1:6" s="255" customFormat="1">
      <c r="A56" s="176" t="s">
        <v>1375</v>
      </c>
      <c r="B56" s="176"/>
      <c r="C56" s="176"/>
      <c r="D56" s="176"/>
      <c r="E56" s="194"/>
      <c r="F56" s="176"/>
    </row>
    <row r="57" spans="1:6" s="255" customFormat="1">
      <c r="A57" s="181" t="s">
        <v>1830</v>
      </c>
      <c r="B57" s="178">
        <f>'Sources and Uses Budget'!$C56</f>
        <v>124200</v>
      </c>
      <c r="C57" s="178">
        <f>'Sources and Uses Budget'!$C56</f>
        <v>124200</v>
      </c>
      <c r="D57" s="182">
        <f t="shared" si="0"/>
        <v>0</v>
      </c>
      <c r="E57" s="180"/>
      <c r="F57" s="179"/>
    </row>
    <row r="58" spans="1:6" s="255" customFormat="1" ht="12" customHeight="1">
      <c r="A58" s="181" t="s">
        <v>1823</v>
      </c>
      <c r="B58" s="178">
        <f>'Sources and Uses Budget'!$C57</f>
        <v>0</v>
      </c>
      <c r="C58" s="178">
        <f>'Sources and Uses Budget'!$C57</f>
        <v>0</v>
      </c>
      <c r="D58" s="182">
        <f t="shared" si="0"/>
        <v>0</v>
      </c>
      <c r="E58" s="180"/>
      <c r="F58" s="179"/>
    </row>
    <row r="59" spans="1:6" s="255" customFormat="1">
      <c r="A59" s="181" t="s">
        <v>1826</v>
      </c>
      <c r="B59" s="178">
        <f>'Sources and Uses Budget'!$C58</f>
        <v>120000</v>
      </c>
      <c r="C59" s="178">
        <f>'Sources and Uses Budget'!$C58</f>
        <v>120000</v>
      </c>
      <c r="D59" s="182">
        <f t="shared" si="0"/>
        <v>0</v>
      </c>
      <c r="E59" s="180"/>
      <c r="F59" s="179"/>
    </row>
    <row r="60" spans="1:6" s="255" customFormat="1">
      <c r="A60" s="181" t="s">
        <v>1827</v>
      </c>
      <c r="B60" s="178">
        <f>'Sources and Uses Budget'!$C59</f>
        <v>0</v>
      </c>
      <c r="C60" s="178">
        <f>'Sources and Uses Budget'!$C59</f>
        <v>0</v>
      </c>
      <c r="D60" s="182">
        <f t="shared" si="0"/>
        <v>0</v>
      </c>
      <c r="E60" s="180"/>
      <c r="F60" s="179"/>
    </row>
    <row r="61" spans="1:6" s="255" customFormat="1">
      <c r="A61" s="181" t="s">
        <v>1586</v>
      </c>
      <c r="B61" s="178">
        <f>'Sources and Uses Budget'!$C60</f>
        <v>0</v>
      </c>
      <c r="C61" s="178">
        <f>'Sources and Uses Budget'!$C60</f>
        <v>0</v>
      </c>
      <c r="D61" s="182">
        <f t="shared" si="0"/>
        <v>0</v>
      </c>
      <c r="E61" s="180"/>
      <c r="F61" s="179"/>
    </row>
    <row r="62" spans="1:6" s="255" customFormat="1">
      <c r="A62" s="906" t="str">
        <f>'Sources and Uses Budget'!A61</f>
        <v>Other: (Lender Legal and Expenses)</v>
      </c>
      <c r="B62" s="178">
        <f>'Sources and Uses Budget'!$C61</f>
        <v>207000</v>
      </c>
      <c r="C62" s="178">
        <f>'Sources and Uses Budget'!$C61</f>
        <v>207000</v>
      </c>
      <c r="D62" s="182">
        <f t="shared" si="0"/>
        <v>0</v>
      </c>
      <c r="E62" s="180"/>
      <c r="F62" s="179"/>
    </row>
    <row r="63" spans="1:6" s="255" customFormat="1" ht="13.7" customHeight="1">
      <c r="A63" s="183" t="s">
        <v>1832</v>
      </c>
      <c r="B63" s="182">
        <f>SUM(B57:B62)</f>
        <v>451200</v>
      </c>
      <c r="C63" s="182">
        <f>SUM(C57:C62)</f>
        <v>451200</v>
      </c>
      <c r="D63" s="182">
        <f t="shared" si="0"/>
        <v>0</v>
      </c>
      <c r="E63" s="180"/>
      <c r="F63" s="179"/>
    </row>
    <row r="64" spans="1:6" s="255" customFormat="1">
      <c r="A64" s="186" t="s">
        <v>1833</v>
      </c>
      <c r="B64" s="182">
        <f>SUM(B9+B12+B14+B15+B17+B26+B28+B39+B43+B44+B55+B63)</f>
        <v>66687299</v>
      </c>
      <c r="C64" s="182">
        <f>SUM(C9+C12+C14+C15+C17+C26+C28+C39+C43+C44+C55+C63)</f>
        <v>66687299</v>
      </c>
      <c r="D64" s="182">
        <f t="shared" si="0"/>
        <v>0</v>
      </c>
      <c r="E64" s="180"/>
      <c r="F64" s="179"/>
    </row>
    <row r="65" spans="1:6" s="255" customFormat="1" ht="24">
      <c r="A65" s="104" t="s">
        <v>1834</v>
      </c>
      <c r="B65" s="176"/>
      <c r="C65" s="176"/>
      <c r="D65" s="176"/>
      <c r="E65" s="194"/>
      <c r="F65" s="176"/>
    </row>
    <row r="66" spans="1:6" s="255" customFormat="1">
      <c r="A66" s="195" t="s">
        <v>1835</v>
      </c>
      <c r="B66" s="178">
        <f>'Sources and Uses Budget'!$C65</f>
        <v>225018</v>
      </c>
      <c r="C66" s="178">
        <f>'Sources and Uses Budget'!$C65</f>
        <v>225018</v>
      </c>
      <c r="D66" s="182">
        <f t="shared" si="0"/>
        <v>0</v>
      </c>
      <c r="E66" s="180"/>
      <c r="F66" s="179"/>
    </row>
    <row r="67" spans="1:6" s="255" customFormat="1" ht="24">
      <c r="A67" s="195" t="s">
        <v>1836</v>
      </c>
      <c r="B67" s="178">
        <f>'Sources and Uses Budget'!$C66</f>
        <v>0</v>
      </c>
      <c r="C67" s="178">
        <f>'Sources and Uses Budget'!$C66</f>
        <v>0</v>
      </c>
      <c r="D67" s="182"/>
      <c r="E67" s="180"/>
      <c r="F67" s="179"/>
    </row>
    <row r="68" spans="1:6" s="255" customFormat="1" ht="24">
      <c r="A68" s="195" t="s">
        <v>1837</v>
      </c>
      <c r="B68" s="178">
        <f>'Sources and Uses Budget'!$C67</f>
        <v>0</v>
      </c>
      <c r="C68" s="178">
        <f>'Sources and Uses Budget'!$C67</f>
        <v>0</v>
      </c>
      <c r="D68" s="182"/>
      <c r="E68" s="180"/>
      <c r="F68" s="179"/>
    </row>
    <row r="69" spans="1:6" s="255" customFormat="1">
      <c r="A69" s="195" t="s">
        <v>1838</v>
      </c>
      <c r="B69" s="178">
        <f>'Sources and Uses Budget'!$C68</f>
        <v>0</v>
      </c>
      <c r="C69" s="178">
        <f>'Sources and Uses Budget'!$C68</f>
        <v>0</v>
      </c>
      <c r="D69" s="182"/>
      <c r="E69" s="180"/>
      <c r="F69" s="179"/>
    </row>
    <row r="70" spans="1:6" s="255" customFormat="1">
      <c r="A70" s="409" t="str">
        <f>'Sources and Uses Budget'!A69</f>
        <v>Other: (Sponsor Legal)</v>
      </c>
      <c r="B70" s="178">
        <f>'Sources and Uses Budget'!$C69</f>
        <v>90000</v>
      </c>
      <c r="C70" s="178">
        <f>'Sources and Uses Budget'!$C69</f>
        <v>90000</v>
      </c>
      <c r="D70" s="182">
        <f t="shared" si="0"/>
        <v>0</v>
      </c>
      <c r="E70" s="180"/>
      <c r="F70" s="179"/>
    </row>
    <row r="71" spans="1:6" s="255" customFormat="1">
      <c r="A71" s="106" t="s">
        <v>1840</v>
      </c>
      <c r="B71" s="182">
        <f>SUM(B66:B70)</f>
        <v>315018</v>
      </c>
      <c r="C71" s="182">
        <f>SUM(C66:C70)</f>
        <v>315018</v>
      </c>
      <c r="D71" s="182">
        <f t="shared" si="0"/>
        <v>0</v>
      </c>
      <c r="E71" s="180"/>
      <c r="F71" s="179"/>
    </row>
    <row r="72" spans="1:6" s="255" customFormat="1">
      <c r="A72" s="176" t="s">
        <v>1841</v>
      </c>
      <c r="B72" s="176"/>
      <c r="C72" s="176"/>
      <c r="D72" s="176"/>
      <c r="E72" s="194"/>
      <c r="F72" s="176"/>
    </row>
    <row r="73" spans="1:6" s="255" customFormat="1">
      <c r="A73" s="181" t="s">
        <v>1842</v>
      </c>
      <c r="B73" s="178">
        <f>'Sources and Uses Budget'!$C72</f>
        <v>0</v>
      </c>
      <c r="C73" s="178">
        <f>'Sources and Uses Budget'!$C72</f>
        <v>0</v>
      </c>
      <c r="D73" s="182">
        <f t="shared" si="0"/>
        <v>0</v>
      </c>
      <c r="E73" s="180"/>
      <c r="F73" s="179"/>
    </row>
    <row r="74" spans="1:6" s="255" customFormat="1">
      <c r="A74" s="181" t="s">
        <v>1843</v>
      </c>
      <c r="B74" s="178">
        <f>'Sources and Uses Budget'!$C73</f>
        <v>0</v>
      </c>
      <c r="C74" s="178">
        <f>'Sources and Uses Budget'!$C73</f>
        <v>0</v>
      </c>
      <c r="D74" s="182">
        <f t="shared" si="0"/>
        <v>0</v>
      </c>
      <c r="E74" s="180"/>
      <c r="F74" s="179"/>
    </row>
    <row r="75" spans="1:6" s="255" customFormat="1">
      <c r="A75" s="197" t="s">
        <v>1844</v>
      </c>
      <c r="B75" s="178">
        <f>'Sources and Uses Budget'!$C74</f>
        <v>0</v>
      </c>
      <c r="C75" s="178">
        <f>'Sources and Uses Budget'!$C74</f>
        <v>0</v>
      </c>
      <c r="D75" s="182">
        <f t="shared" si="0"/>
        <v>0</v>
      </c>
      <c r="E75" s="180"/>
      <c r="F75" s="179"/>
    </row>
    <row r="76" spans="1:6" s="255" customFormat="1">
      <c r="A76" s="181" t="s">
        <v>1845</v>
      </c>
      <c r="B76" s="178">
        <f>'Sources and Uses Budget'!$C75</f>
        <v>483265</v>
      </c>
      <c r="C76" s="178">
        <f>'Sources and Uses Budget'!$C75</f>
        <v>483265</v>
      </c>
      <c r="D76" s="182">
        <f t="shared" si="0"/>
        <v>0</v>
      </c>
      <c r="E76" s="180"/>
      <c r="F76" s="179"/>
    </row>
    <row r="77" spans="1:6" s="255" customFormat="1">
      <c r="A77" s="184" t="s">
        <v>1810</v>
      </c>
      <c r="B77" s="178">
        <f>'Sources and Uses Budget'!$C76</f>
        <v>127629</v>
      </c>
      <c r="C77" s="178">
        <f>'Sources and Uses Budget'!$C76</f>
        <v>127629</v>
      </c>
      <c r="D77" s="182">
        <f t="shared" si="0"/>
        <v>0</v>
      </c>
      <c r="E77" s="180"/>
      <c r="F77" s="179"/>
    </row>
    <row r="78" spans="1:6" s="255" customFormat="1">
      <c r="A78" s="183" t="s">
        <v>1847</v>
      </c>
      <c r="B78" s="182">
        <f>SUM(B73:B77)</f>
        <v>610894</v>
      </c>
      <c r="C78" s="182">
        <f>SUM(C73:C77)</f>
        <v>610894</v>
      </c>
      <c r="D78" s="182">
        <f t="shared" ref="D78:D106" si="1">C78-B78</f>
        <v>0</v>
      </c>
      <c r="E78" s="180"/>
      <c r="F78" s="179"/>
    </row>
    <row r="79" spans="1:6" s="255" customFormat="1">
      <c r="A79" s="176" t="s">
        <v>1848</v>
      </c>
      <c r="B79" s="176"/>
      <c r="C79" s="176"/>
      <c r="D79" s="176"/>
      <c r="E79" s="194"/>
      <c r="F79" s="176"/>
    </row>
    <row r="80" spans="1:6" s="255" customFormat="1">
      <c r="A80" s="410" t="s">
        <v>1849</v>
      </c>
      <c r="B80" s="178">
        <f>'Sources and Uses Budget'!$C79</f>
        <v>4644032</v>
      </c>
      <c r="C80" s="178">
        <f>'Sources and Uses Budget'!$C79</f>
        <v>4644032</v>
      </c>
      <c r="D80" s="182">
        <f t="shared" si="1"/>
        <v>0</v>
      </c>
      <c r="E80" s="180"/>
      <c r="F80" s="179"/>
    </row>
    <row r="81" spans="1:6" s="255" customFormat="1">
      <c r="A81" s="410" t="s">
        <v>1850</v>
      </c>
      <c r="B81" s="178">
        <f>'Sources and Uses Budget'!$C80</f>
        <v>600000</v>
      </c>
      <c r="C81" s="178">
        <f>'Sources and Uses Budget'!$C80</f>
        <v>600000</v>
      </c>
      <c r="D81" s="182">
        <f>C81-B81</f>
        <v>0</v>
      </c>
      <c r="E81" s="180"/>
      <c r="F81" s="179"/>
    </row>
    <row r="82" spans="1:6" s="255" customFormat="1">
      <c r="A82" s="183" t="s">
        <v>1851</v>
      </c>
      <c r="B82" s="182">
        <f>SUM(B80:B81)</f>
        <v>5244032</v>
      </c>
      <c r="C82" s="182">
        <f>SUM(C80:C81)</f>
        <v>5244032</v>
      </c>
      <c r="D82" s="182">
        <f t="shared" si="1"/>
        <v>0</v>
      </c>
      <c r="E82" s="180"/>
      <c r="F82" s="179"/>
    </row>
    <row r="83" spans="1:6" s="255" customFormat="1">
      <c r="A83" s="176" t="s">
        <v>1852</v>
      </c>
      <c r="B83" s="176"/>
      <c r="C83" s="176"/>
      <c r="D83" s="176"/>
      <c r="E83" s="194"/>
      <c r="F83" s="176"/>
    </row>
    <row r="84" spans="1:6" s="255" customFormat="1" ht="13.7" customHeight="1">
      <c r="A84" s="181" t="s">
        <v>2790</v>
      </c>
      <c r="B84" s="178">
        <f>'Sources and Uses Budget'!$C83</f>
        <v>111520</v>
      </c>
      <c r="C84" s="178">
        <f>'Sources and Uses Budget'!$C83</f>
        <v>111520</v>
      </c>
      <c r="D84" s="182">
        <f t="shared" si="1"/>
        <v>0</v>
      </c>
      <c r="E84" s="180"/>
      <c r="F84" s="179"/>
    </row>
    <row r="85" spans="1:6" s="255" customFormat="1">
      <c r="A85" s="181" t="s">
        <v>1854</v>
      </c>
      <c r="B85" s="178">
        <f>'Sources and Uses Budget'!$C84</f>
        <v>171862</v>
      </c>
      <c r="C85" s="178">
        <f>'Sources and Uses Budget'!$C84</f>
        <v>171862</v>
      </c>
      <c r="D85" s="182">
        <f t="shared" si="1"/>
        <v>0</v>
      </c>
      <c r="E85" s="180"/>
      <c r="F85" s="179"/>
    </row>
    <row r="86" spans="1:6" s="255" customFormat="1">
      <c r="A86" s="181" t="s">
        <v>1855</v>
      </c>
      <c r="B86" s="178">
        <f>'Sources and Uses Budget'!$C85</f>
        <v>1763654</v>
      </c>
      <c r="C86" s="178">
        <f>'Sources and Uses Budget'!$C85</f>
        <v>1763654</v>
      </c>
      <c r="D86" s="182">
        <f t="shared" si="1"/>
        <v>0</v>
      </c>
      <c r="E86" s="180"/>
      <c r="F86" s="179"/>
    </row>
    <row r="87" spans="1:6" s="255" customFormat="1">
      <c r="A87" s="181" t="s">
        <v>1856</v>
      </c>
      <c r="B87" s="178">
        <f>'Sources and Uses Budget'!$C86</f>
        <v>1272845</v>
      </c>
      <c r="C87" s="178">
        <f>'Sources and Uses Budget'!$C86</f>
        <v>1272845</v>
      </c>
      <c r="D87" s="182">
        <f t="shared" si="1"/>
        <v>0</v>
      </c>
      <c r="E87" s="180"/>
      <c r="F87" s="179"/>
    </row>
    <row r="88" spans="1:6" s="255" customFormat="1">
      <c r="A88" s="181" t="s">
        <v>1857</v>
      </c>
      <c r="B88" s="178">
        <f>'Sources and Uses Budget'!$C87</f>
        <v>687500</v>
      </c>
      <c r="C88" s="178">
        <f>'Sources and Uses Budget'!$C87</f>
        <v>687500</v>
      </c>
      <c r="D88" s="182">
        <f t="shared" si="1"/>
        <v>0</v>
      </c>
      <c r="E88" s="180"/>
      <c r="F88" s="179"/>
    </row>
    <row r="89" spans="1:6" s="255" customFormat="1">
      <c r="A89" s="181" t="s">
        <v>1858</v>
      </c>
      <c r="B89" s="178">
        <f>'Sources and Uses Budget'!$C88</f>
        <v>100000</v>
      </c>
      <c r="C89" s="178">
        <f>'Sources and Uses Budget'!$C88</f>
        <v>100000</v>
      </c>
      <c r="D89" s="182">
        <f t="shared" si="1"/>
        <v>0</v>
      </c>
      <c r="E89" s="180"/>
      <c r="F89" s="179"/>
    </row>
    <row r="90" spans="1:6" s="255" customFormat="1">
      <c r="A90" s="181" t="s">
        <v>1859</v>
      </c>
      <c r="B90" s="178">
        <f>'Sources and Uses Budget'!$C89</f>
        <v>130000</v>
      </c>
      <c r="C90" s="178">
        <f>'Sources and Uses Budget'!$C89</f>
        <v>130000</v>
      </c>
      <c r="D90" s="182">
        <f t="shared" si="1"/>
        <v>0</v>
      </c>
      <c r="E90" s="180"/>
      <c r="F90" s="179"/>
    </row>
    <row r="91" spans="1:6" s="255" customFormat="1">
      <c r="A91" s="181" t="s">
        <v>1860</v>
      </c>
      <c r="B91" s="178">
        <f>'Sources and Uses Budget'!$C90</f>
        <v>15000</v>
      </c>
      <c r="C91" s="178">
        <f>'Sources and Uses Budget'!$C90</f>
        <v>15000</v>
      </c>
      <c r="D91" s="182">
        <f t="shared" si="1"/>
        <v>0</v>
      </c>
      <c r="E91" s="180"/>
      <c r="F91" s="179"/>
    </row>
    <row r="92" spans="1:6" s="255" customFormat="1">
      <c r="A92" s="181" t="s">
        <v>1861</v>
      </c>
      <c r="B92" s="178">
        <f>'Sources and Uses Budget'!$C91</f>
        <v>0</v>
      </c>
      <c r="C92" s="178">
        <f>'Sources and Uses Budget'!$C91</f>
        <v>0</v>
      </c>
      <c r="D92" s="182">
        <f t="shared" si="1"/>
        <v>0</v>
      </c>
      <c r="E92" s="180"/>
      <c r="F92" s="179"/>
    </row>
    <row r="93" spans="1:6" s="255" customFormat="1">
      <c r="A93" s="410" t="s">
        <v>1862</v>
      </c>
      <c r="B93" s="178">
        <f>'Sources and Uses Budget'!$C92</f>
        <v>7000</v>
      </c>
      <c r="C93" s="178">
        <f>'Sources and Uses Budget'!$C92</f>
        <v>7000</v>
      </c>
      <c r="D93" s="182">
        <f t="shared" si="1"/>
        <v>0</v>
      </c>
      <c r="E93" s="180"/>
      <c r="F93" s="179"/>
    </row>
    <row r="94" spans="1:6" s="255" customFormat="1">
      <c r="A94" s="184" t="s">
        <v>1810</v>
      </c>
      <c r="B94" s="178">
        <f>'Sources and Uses Budget'!$C93</f>
        <v>60000</v>
      </c>
      <c r="C94" s="178">
        <f>'Sources and Uses Budget'!$C93</f>
        <v>60000</v>
      </c>
      <c r="D94" s="182">
        <f t="shared" si="1"/>
        <v>0</v>
      </c>
      <c r="E94" s="180"/>
      <c r="F94" s="179"/>
    </row>
    <row r="95" spans="1:6" s="255" customFormat="1">
      <c r="A95" s="184" t="s">
        <v>1810</v>
      </c>
      <c r="B95" s="178">
        <f>'Sources and Uses Budget'!$C94</f>
        <v>0</v>
      </c>
      <c r="C95" s="178">
        <f>'Sources and Uses Budget'!$C94</f>
        <v>0</v>
      </c>
      <c r="D95" s="182">
        <f t="shared" si="1"/>
        <v>0</v>
      </c>
      <c r="E95" s="180"/>
      <c r="F95" s="179"/>
    </row>
    <row r="96" spans="1:6" s="255" customFormat="1">
      <c r="A96" s="184" t="s">
        <v>1810</v>
      </c>
      <c r="B96" s="178">
        <f>'Sources and Uses Budget'!$C95</f>
        <v>0</v>
      </c>
      <c r="C96" s="178">
        <f>'Sources and Uses Budget'!$C95</f>
        <v>0</v>
      </c>
      <c r="D96" s="182">
        <f t="shared" si="1"/>
        <v>0</v>
      </c>
      <c r="E96" s="180"/>
      <c r="F96" s="179"/>
    </row>
    <row r="97" spans="1:6" s="255" customFormat="1">
      <c r="A97" s="183" t="s">
        <v>1864</v>
      </c>
      <c r="B97" s="182">
        <f>SUM(B84:B96)</f>
        <v>4319381</v>
      </c>
      <c r="C97" s="182">
        <f>SUM(C84:C96)</f>
        <v>4319381</v>
      </c>
      <c r="D97" s="182">
        <f t="shared" si="1"/>
        <v>0</v>
      </c>
      <c r="E97" s="180"/>
      <c r="F97" s="179"/>
    </row>
    <row r="98" spans="1:6" s="255" customFormat="1">
      <c r="A98" s="183" t="s">
        <v>1865</v>
      </c>
      <c r="B98" s="182">
        <f>SUM(B64+B71+B78+B82+B97)</f>
        <v>77176624</v>
      </c>
      <c r="C98" s="182">
        <f>SUM(C64+C71+C78+C82+C97)</f>
        <v>77176624</v>
      </c>
      <c r="D98" s="182">
        <f t="shared" si="1"/>
        <v>0</v>
      </c>
      <c r="E98" s="180"/>
      <c r="F98" s="179"/>
    </row>
    <row r="99" spans="1:6" s="255" customFormat="1">
      <c r="A99" s="176" t="s">
        <v>1866</v>
      </c>
      <c r="B99" s="176"/>
      <c r="C99" s="176"/>
      <c r="D99" s="176"/>
      <c r="E99" s="194"/>
      <c r="F99" s="176"/>
    </row>
    <row r="100" spans="1:6" s="255" customFormat="1">
      <c r="A100" s="195" t="s">
        <v>1867</v>
      </c>
      <c r="B100" s="178">
        <f>'Sources and Uses Budget'!$C99</f>
        <v>5000000</v>
      </c>
      <c r="C100" s="178">
        <f>'Sources and Uses Budget'!$C99</f>
        <v>5000000</v>
      </c>
      <c r="D100" s="182">
        <f t="shared" si="1"/>
        <v>0</v>
      </c>
      <c r="E100" s="180"/>
      <c r="F100" s="179"/>
    </row>
    <row r="101" spans="1:6" s="255" customFormat="1">
      <c r="A101" s="195" t="s">
        <v>1868</v>
      </c>
      <c r="B101" s="178">
        <f>'Sources and Uses Budget'!$C100</f>
        <v>0</v>
      </c>
      <c r="C101" s="178">
        <f>'Sources and Uses Budget'!$C100</f>
        <v>0</v>
      </c>
      <c r="D101" s="182">
        <f t="shared" si="1"/>
        <v>0</v>
      </c>
      <c r="E101" s="180"/>
      <c r="F101" s="179"/>
    </row>
    <row r="102" spans="1:6" s="255" customFormat="1">
      <c r="A102" s="195" t="s">
        <v>1869</v>
      </c>
      <c r="B102" s="178">
        <f>'Sources and Uses Budget'!$C101</f>
        <v>0</v>
      </c>
      <c r="C102" s="178">
        <f>'Sources and Uses Budget'!$C101</f>
        <v>0</v>
      </c>
      <c r="D102" s="182">
        <f t="shared" si="1"/>
        <v>0</v>
      </c>
      <c r="E102" s="180"/>
      <c r="F102" s="179"/>
    </row>
    <row r="103" spans="1:6" s="255" customFormat="1" ht="12" customHeight="1">
      <c r="A103" s="195" t="s">
        <v>1870</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1871</v>
      </c>
      <c r="B105" s="182">
        <f>SUM(B100:B104)</f>
        <v>5000000</v>
      </c>
      <c r="C105" s="182">
        <f>SUM(C100:C104)</f>
        <v>5000000</v>
      </c>
      <c r="D105" s="182">
        <f t="shared" si="1"/>
        <v>0</v>
      </c>
      <c r="E105" s="180"/>
      <c r="F105" s="179"/>
    </row>
    <row r="106" spans="1:6" s="255" customFormat="1">
      <c r="A106" s="183" t="s">
        <v>1872</v>
      </c>
      <c r="B106" s="185">
        <f>SUM(B98+B105)</f>
        <v>82176624</v>
      </c>
      <c r="C106" s="185">
        <f>SUM(C98+C105)</f>
        <v>82176624</v>
      </c>
      <c r="D106" s="182">
        <f t="shared" si="1"/>
        <v>0</v>
      </c>
      <c r="E106" s="180"/>
      <c r="F106" s="179"/>
    </row>
    <row r="107" spans="1:6" s="255" customFormat="1">
      <c r="A107" s="189" t="s">
        <v>2791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739" t="s">
        <v>293</v>
      </c>
      <c r="B1" s="1740"/>
      <c r="C1" s="1740"/>
      <c r="D1" s="1740"/>
      <c r="E1" s="1740"/>
      <c r="F1" s="1740"/>
      <c r="G1" s="1740"/>
      <c r="H1" s="1740"/>
      <c r="I1" s="1740"/>
      <c r="J1" s="1740"/>
    </row>
    <row r="2" spans="1:10" ht="15">
      <c r="A2" s="1743" t="s">
        <v>294</v>
      </c>
      <c r="B2" s="1744"/>
      <c r="C2" s="1744"/>
      <c r="D2" s="1744"/>
      <c r="E2" s="1744"/>
      <c r="F2" s="1744"/>
      <c r="G2" s="1744"/>
      <c r="H2" s="1744"/>
      <c r="I2" s="1744"/>
      <c r="J2" s="1744"/>
    </row>
    <row r="3" spans="1:10" ht="12.75"/>
    <row r="4" spans="1:10" ht="12.75" customHeight="1">
      <c r="A4" s="1741" t="s">
        <v>295</v>
      </c>
      <c r="B4" s="1741"/>
      <c r="C4" s="1741"/>
      <c r="D4" s="1741"/>
      <c r="E4" s="1741"/>
      <c r="F4" s="1741"/>
      <c r="G4" s="1741"/>
      <c r="H4" s="1741"/>
      <c r="I4" s="1741"/>
      <c r="J4" s="1741"/>
    </row>
    <row r="5" spans="1:10" ht="12.75">
      <c r="A5" s="1741"/>
      <c r="B5" s="1741"/>
      <c r="C5" s="1741"/>
      <c r="D5" s="1741"/>
      <c r="E5" s="1741"/>
      <c r="F5" s="1741"/>
      <c r="G5" s="1741"/>
      <c r="H5" s="1741"/>
      <c r="I5" s="1741"/>
      <c r="J5" s="1741"/>
    </row>
    <row r="6" spans="1:10" ht="30" customHeight="1">
      <c r="A6" s="1741"/>
      <c r="B6" s="1741"/>
      <c r="C6" s="1741"/>
      <c r="D6" s="1741"/>
      <c r="E6" s="1741"/>
      <c r="F6" s="1741"/>
      <c r="G6" s="1741"/>
      <c r="H6" s="1741"/>
      <c r="I6" s="1741"/>
      <c r="J6" s="1741"/>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745" t="s">
        <v>297</v>
      </c>
      <c r="B10" s="1745"/>
      <c r="C10" s="1745"/>
      <c r="D10" s="1745"/>
      <c r="E10" s="1745"/>
      <c r="F10" s="1745"/>
      <c r="G10" s="1745"/>
      <c r="H10" s="1745"/>
      <c r="I10" s="1745"/>
      <c r="J10" s="1745"/>
    </row>
    <row r="11" spans="1:10" ht="12.75">
      <c r="A11" s="1745"/>
      <c r="B11" s="1745"/>
      <c r="C11" s="1745"/>
      <c r="D11" s="1745"/>
      <c r="E11" s="1745"/>
      <c r="F11" s="1745"/>
      <c r="G11" s="1745"/>
      <c r="H11" s="1745"/>
      <c r="I11" s="1745"/>
      <c r="J11" s="1745"/>
    </row>
    <row r="12" spans="1:10" ht="12.75">
      <c r="A12" s="1745"/>
      <c r="B12" s="1745"/>
      <c r="C12" s="1745"/>
      <c r="D12" s="1745"/>
      <c r="E12" s="1745"/>
      <c r="F12" s="1745"/>
      <c r="G12" s="1745"/>
      <c r="H12" s="1745"/>
      <c r="I12" s="1745"/>
      <c r="J12" s="1745"/>
    </row>
    <row r="13" spans="1:10" ht="12.75">
      <c r="A13" s="1745"/>
      <c r="B13" s="1745"/>
      <c r="C13" s="1745"/>
      <c r="D13" s="1745"/>
      <c r="E13" s="1745"/>
      <c r="F13" s="1745"/>
      <c r="G13" s="1745"/>
      <c r="H13" s="1745"/>
      <c r="I13" s="1745"/>
      <c r="J13" s="1745"/>
    </row>
    <row r="14" spans="1:10" ht="12.75">
      <c r="A14" s="1745"/>
      <c r="B14" s="1745"/>
      <c r="C14" s="1745"/>
      <c r="D14" s="1745"/>
      <c r="E14" s="1745"/>
      <c r="F14" s="1745"/>
      <c r="G14" s="1745"/>
      <c r="H14" s="1745"/>
      <c r="I14" s="1745"/>
      <c r="J14" s="1745"/>
    </row>
    <row r="15" spans="1:10" ht="12.75">
      <c r="A15" s="1745"/>
      <c r="B15" s="1745"/>
      <c r="C15" s="1745"/>
      <c r="D15" s="1745"/>
      <c r="E15" s="1745"/>
      <c r="F15" s="1745"/>
      <c r="G15" s="1745"/>
      <c r="H15" s="1745"/>
      <c r="I15" s="1745"/>
      <c r="J15" s="1745"/>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744" t="s">
        <v>299</v>
      </c>
      <c r="B19" s="1744"/>
      <c r="C19" s="1744"/>
      <c r="D19" s="1744"/>
      <c r="E19" s="174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41" t="s">
        <v>300</v>
      </c>
      <c r="B76" s="1741"/>
      <c r="C76" s="1741"/>
      <c r="D76" s="1741"/>
      <c r="E76" s="1741"/>
      <c r="F76" s="1741"/>
      <c r="G76" s="1741"/>
      <c r="H76" s="1741"/>
      <c r="I76" s="1741"/>
      <c r="J76" s="1741"/>
    </row>
    <row r="77" spans="1:10" ht="12.75">
      <c r="A77" s="1741"/>
      <c r="B77" s="1741"/>
      <c r="C77" s="1741"/>
      <c r="D77" s="1741"/>
      <c r="E77" s="1741"/>
      <c r="F77" s="1741"/>
      <c r="G77" s="1741"/>
      <c r="H77" s="1741"/>
      <c r="I77" s="1741"/>
      <c r="J77" s="1741"/>
    </row>
    <row r="78" spans="1:10" ht="12.75">
      <c r="A78" s="1741"/>
      <c r="B78" s="1741"/>
      <c r="C78" s="1741"/>
      <c r="D78" s="1741"/>
      <c r="E78" s="1741"/>
      <c r="F78" s="1741"/>
      <c r="G78" s="1741"/>
      <c r="H78" s="1741"/>
      <c r="I78" s="1741"/>
      <c r="J78" s="1741"/>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742" t="s">
        <v>301</v>
      </c>
      <c r="B89" s="1742"/>
      <c r="C89" s="1742"/>
      <c r="D89" s="1742"/>
      <c r="E89" s="1742"/>
      <c r="F89" s="1742"/>
      <c r="G89" s="1742"/>
      <c r="H89" s="1742"/>
      <c r="I89" s="1742"/>
    </row>
    <row r="90" spans="1:9" ht="12.75">
      <c r="A90" s="1734" t="s">
        <v>302</v>
      </c>
      <c r="B90" s="1734"/>
      <c r="C90" s="1734"/>
      <c r="D90" s="1734"/>
      <c r="E90" s="1734"/>
    </row>
    <row r="91" spans="1:9" ht="12.75">
      <c r="A91" s="1734" t="s">
        <v>303</v>
      </c>
      <c r="B91" s="1734"/>
      <c r="C91" s="1734"/>
      <c r="D91" s="1734"/>
      <c r="E91" s="1734"/>
    </row>
    <row r="92" spans="1:9" ht="12.75">
      <c r="A92" s="1734" t="s">
        <v>304</v>
      </c>
      <c r="B92" s="1734"/>
      <c r="C92" s="1734"/>
      <c r="D92" s="1734"/>
      <c r="E92" s="173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06" workbookViewId="0">
      <selection activeCell="I883" sqref="I883"/>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795" t="s">
        <v>305</v>
      </c>
      <c r="B2" s="1795"/>
      <c r="C2" s="1795"/>
      <c r="D2" s="1795"/>
      <c r="E2" s="1795"/>
      <c r="F2" s="1795"/>
      <c r="G2" s="1795"/>
      <c r="H2" s="1795"/>
      <c r="I2" s="1795"/>
    </row>
    <row r="3" spans="1:13">
      <c r="A3" s="1785" t="s">
        <v>306</v>
      </c>
      <c r="B3" s="1785"/>
      <c r="C3" s="1785"/>
      <c r="D3" s="1785"/>
      <c r="E3" s="1785"/>
      <c r="F3" s="1785"/>
      <c r="G3" s="1785"/>
      <c r="H3" s="1785"/>
      <c r="I3" s="1785"/>
    </row>
    <row r="4" spans="1:13">
      <c r="A4" s="1785"/>
      <c r="B4" s="1785"/>
      <c r="C4" s="1744"/>
      <c r="D4" s="1744"/>
      <c r="E4" s="1744"/>
      <c r="F4" s="1744"/>
      <c r="G4" s="1744"/>
    </row>
    <row r="5" spans="1:13">
      <c r="A5" s="1785"/>
      <c r="B5" s="1785"/>
      <c r="C5" s="1744"/>
      <c r="D5" s="1744"/>
      <c r="E5" s="1744"/>
      <c r="F5" s="1744"/>
      <c r="G5" s="1744"/>
    </row>
    <row r="6" spans="1:13" ht="12.75" customHeight="1">
      <c r="A6" s="1788" t="s">
        <v>307</v>
      </c>
      <c r="B6" s="1788"/>
      <c r="C6" s="1788"/>
      <c r="D6" s="1788"/>
      <c r="E6" s="1788"/>
      <c r="F6" s="1788"/>
      <c r="G6" s="1788"/>
      <c r="I6" s="391"/>
    </row>
    <row r="7" spans="1:13">
      <c r="A7" s="1788"/>
      <c r="B7" s="1788"/>
      <c r="C7" s="1788"/>
      <c r="D7" s="1788"/>
      <c r="E7" s="1788"/>
      <c r="F7" s="1788"/>
      <c r="G7" s="1788"/>
      <c r="I7" s="391"/>
    </row>
    <row r="8" spans="1:13">
      <c r="A8" s="382"/>
      <c r="B8" s="382"/>
      <c r="C8" s="383"/>
      <c r="D8" s="383"/>
      <c r="E8" s="383"/>
      <c r="F8" s="383"/>
    </row>
    <row r="9" spans="1:13">
      <c r="A9" s="1764" t="s">
        <v>308</v>
      </c>
      <c r="B9" s="1764"/>
      <c r="C9" s="1764"/>
      <c r="D9" s="1764"/>
      <c r="E9" s="1764"/>
      <c r="F9" s="1764"/>
      <c r="G9" s="1764"/>
      <c r="H9" s="914"/>
      <c r="I9" s="915"/>
    </row>
    <row r="10" spans="1:13">
      <c r="A10" s="383"/>
      <c r="B10" s="383"/>
      <c r="E10" s="307"/>
    </row>
    <row r="11" spans="1:13" ht="13.7" customHeight="1">
      <c r="C11" s="383"/>
      <c r="D11" s="1787" t="s">
        <v>309</v>
      </c>
      <c r="E11" s="1787"/>
      <c r="F11" s="1787"/>
    </row>
    <row r="12" spans="1:13">
      <c r="C12" s="383"/>
      <c r="D12" s="1787"/>
      <c r="E12" s="1787"/>
      <c r="F12" s="1787"/>
    </row>
    <row r="13" spans="1:13">
      <c r="A13" s="384"/>
      <c r="B13" s="384"/>
      <c r="C13" s="384"/>
      <c r="D13" s="1765" t="s">
        <v>310</v>
      </c>
      <c r="E13" s="1765"/>
      <c r="F13" s="1765"/>
      <c r="M13" s="71"/>
    </row>
    <row r="14" spans="1:13">
      <c r="A14" s="384"/>
      <c r="B14" s="384"/>
      <c r="C14" s="384"/>
      <c r="D14" s="377"/>
      <c r="L14" s="219"/>
    </row>
    <row r="15" spans="1:13" ht="14.25">
      <c r="A15" s="385"/>
      <c r="B15" s="386" t="s">
        <v>311</v>
      </c>
      <c r="C15" s="384"/>
      <c r="D15" s="1763" t="s">
        <v>312</v>
      </c>
      <c r="E15" s="1763"/>
      <c r="F15" s="1763"/>
      <c r="I15" s="391"/>
    </row>
    <row r="16" spans="1:13">
      <c r="A16" s="384"/>
      <c r="B16" s="384"/>
      <c r="C16" s="384"/>
      <c r="D16" s="1763"/>
      <c r="E16" s="1763"/>
      <c r="F16" s="1763"/>
      <c r="I16" s="391"/>
    </row>
    <row r="17" spans="1:9">
      <c r="A17" s="384"/>
      <c r="B17" s="384"/>
      <c r="C17" s="384"/>
      <c r="D17" s="1763"/>
      <c r="E17" s="1763"/>
      <c r="F17" s="1763"/>
      <c r="I17" s="391"/>
    </row>
    <row r="18" spans="1:9">
      <c r="A18" s="384"/>
      <c r="B18" s="384"/>
      <c r="C18" s="384"/>
      <c r="D18" s="347"/>
      <c r="E18" s="219" t="s">
        <v>313</v>
      </c>
      <c r="F18" s="347"/>
      <c r="I18" s="391"/>
    </row>
    <row r="19" spans="1:9">
      <c r="A19" s="384"/>
      <c r="B19" s="384"/>
      <c r="C19" s="384"/>
      <c r="I19" s="391"/>
    </row>
    <row r="20" spans="1:9" ht="14.25">
      <c r="A20" s="385"/>
      <c r="B20" s="386" t="s">
        <v>311</v>
      </c>
      <c r="D20" s="1763" t="s">
        <v>314</v>
      </c>
      <c r="E20" s="1763"/>
      <c r="F20" s="1763"/>
      <c r="I20" s="391"/>
    </row>
    <row r="21" spans="1:9" ht="14.25">
      <c r="A21" s="385"/>
      <c r="D21" s="1763"/>
      <c r="E21" s="1763"/>
      <c r="F21" s="1763"/>
      <c r="I21" s="391"/>
    </row>
    <row r="22" spans="1:9" ht="14.25">
      <c r="A22" s="385"/>
      <c r="D22" s="295"/>
      <c r="E22" s="71" t="s">
        <v>315</v>
      </c>
      <c r="F22" s="295"/>
      <c r="I22" s="391"/>
    </row>
    <row r="23" spans="1:9" ht="14.25">
      <c r="A23" s="385"/>
      <c r="B23" s="385"/>
      <c r="D23" s="348"/>
      <c r="I23" s="391"/>
    </row>
    <row r="24" spans="1:9" ht="14.25">
      <c r="A24" s="385"/>
      <c r="B24" s="386" t="s">
        <v>316</v>
      </c>
      <c r="D24" s="1763" t="s">
        <v>317</v>
      </c>
      <c r="E24" s="1763"/>
      <c r="F24" s="1763"/>
      <c r="I24" s="391"/>
    </row>
    <row r="25" spans="1:9" ht="14.25">
      <c r="A25" s="385"/>
      <c r="B25" s="385"/>
      <c r="D25" s="1763"/>
      <c r="E25" s="1763"/>
      <c r="F25" s="1763"/>
      <c r="I25" s="391"/>
    </row>
    <row r="26" spans="1:9">
      <c r="I26" s="391"/>
    </row>
    <row r="27" spans="1:9" ht="14.25">
      <c r="A27" s="385"/>
      <c r="B27" s="386" t="s">
        <v>311</v>
      </c>
      <c r="D27" s="1763" t="s">
        <v>318</v>
      </c>
      <c r="E27" s="1763"/>
      <c r="F27" s="1763"/>
      <c r="I27" s="391"/>
    </row>
    <row r="28" spans="1:9">
      <c r="D28" s="1763"/>
      <c r="E28" s="1763"/>
      <c r="F28" s="1763"/>
      <c r="I28" s="391"/>
    </row>
    <row r="29" spans="1:9">
      <c r="D29" s="1763"/>
      <c r="E29" s="1763"/>
      <c r="F29" s="1763"/>
      <c r="I29" s="391"/>
    </row>
    <row r="30" spans="1:9">
      <c r="D30" s="1763"/>
      <c r="E30" s="1763"/>
      <c r="F30" s="1763"/>
      <c r="I30" s="391"/>
    </row>
    <row r="31" spans="1:9">
      <c r="D31" s="1763"/>
      <c r="E31" s="1763"/>
      <c r="F31" s="1763"/>
      <c r="I31" s="391"/>
    </row>
    <row r="32" spans="1:9">
      <c r="D32" s="349"/>
      <c r="I32" s="391"/>
    </row>
    <row r="33" spans="1:9">
      <c r="B33" s="386" t="s">
        <v>311</v>
      </c>
      <c r="D33" s="1763" t="s">
        <v>319</v>
      </c>
      <c r="E33" s="1763"/>
      <c r="F33" s="1763"/>
      <c r="I33" s="391"/>
    </row>
    <row r="34" spans="1:9">
      <c r="D34" s="1763"/>
      <c r="E34" s="1763"/>
      <c r="F34" s="1763"/>
      <c r="I34" s="391"/>
    </row>
    <row r="35" spans="1:9" ht="14.25">
      <c r="A35" s="385"/>
      <c r="B35" s="385"/>
      <c r="D35" s="349"/>
      <c r="I35" s="391"/>
    </row>
    <row r="36" spans="1:9" ht="14.45" customHeight="1">
      <c r="A36" s="385"/>
      <c r="B36" s="386" t="s">
        <v>311</v>
      </c>
      <c r="D36" s="1763" t="s">
        <v>320</v>
      </c>
      <c r="E36" s="1763"/>
      <c r="F36" s="1763"/>
      <c r="I36" s="391"/>
    </row>
    <row r="37" spans="1:9" ht="14.25">
      <c r="A37" s="385"/>
      <c r="B37" s="385"/>
      <c r="D37" s="1763"/>
      <c r="E37" s="1763"/>
      <c r="F37" s="1763"/>
      <c r="I37" s="391"/>
    </row>
    <row r="38" spans="1:9" ht="14.25">
      <c r="A38" s="385"/>
      <c r="B38" s="385"/>
      <c r="D38" s="1763"/>
      <c r="E38" s="1763"/>
      <c r="F38" s="1763"/>
      <c r="I38" s="391"/>
    </row>
    <row r="39" spans="1:9" ht="14.25">
      <c r="A39" s="385"/>
      <c r="B39" s="385"/>
      <c r="D39" s="1763"/>
      <c r="E39" s="1763"/>
      <c r="F39" s="1763"/>
      <c r="I39" s="391"/>
    </row>
    <row r="40" spans="1:9" ht="14.25">
      <c r="A40" s="385"/>
      <c r="B40" s="385"/>
      <c r="I40" s="391"/>
    </row>
    <row r="41" spans="1:9" ht="14.25">
      <c r="A41" s="385"/>
      <c r="B41" s="386" t="s">
        <v>311</v>
      </c>
      <c r="D41" s="1763" t="s">
        <v>321</v>
      </c>
      <c r="E41" s="1763"/>
      <c r="F41" s="1763"/>
      <c r="I41" s="391"/>
    </row>
    <row r="42" spans="1:9" ht="14.25">
      <c r="A42" s="385"/>
      <c r="B42" s="385"/>
      <c r="D42" s="1763"/>
      <c r="E42" s="1763"/>
      <c r="F42" s="1763"/>
      <c r="I42" s="391"/>
    </row>
    <row r="43" spans="1:9" ht="14.25">
      <c r="A43" s="385"/>
      <c r="B43" s="385"/>
      <c r="D43" s="1763"/>
      <c r="E43" s="1763"/>
      <c r="F43" s="1763"/>
      <c r="I43" s="391"/>
    </row>
    <row r="44" spans="1:9" ht="14.25">
      <c r="A44" s="385"/>
      <c r="B44" s="385"/>
      <c r="D44" s="1763"/>
      <c r="E44" s="1763"/>
      <c r="F44" s="1763"/>
      <c r="I44" s="391"/>
    </row>
    <row r="45" spans="1:9" ht="14.25">
      <c r="A45" s="385"/>
      <c r="B45" s="385"/>
      <c r="D45" s="1763"/>
      <c r="E45" s="1763"/>
      <c r="F45" s="1763"/>
      <c r="I45" s="391"/>
    </row>
    <row r="46" spans="1:9" ht="14.25">
      <c r="A46" s="385"/>
      <c r="B46" s="385"/>
      <c r="D46" s="347"/>
      <c r="E46" s="347"/>
      <c r="F46" s="347"/>
      <c r="I46" s="391"/>
    </row>
    <row r="47" spans="1:9" ht="14.25">
      <c r="A47" s="385"/>
      <c r="B47" s="386" t="s">
        <v>311</v>
      </c>
      <c r="D47" s="1763" t="s">
        <v>322</v>
      </c>
      <c r="E47" s="1763"/>
      <c r="F47" s="1763"/>
      <c r="I47" s="391"/>
    </row>
    <row r="48" spans="1:9" ht="14.25">
      <c r="A48" s="385"/>
      <c r="B48" s="385"/>
      <c r="D48" s="1763"/>
      <c r="E48" s="1763"/>
      <c r="F48" s="1763"/>
      <c r="I48" s="391"/>
    </row>
    <row r="49" spans="1:9" ht="14.25">
      <c r="A49" s="385"/>
      <c r="B49" s="385"/>
      <c r="D49" s="1763"/>
      <c r="E49" s="1763"/>
      <c r="F49" s="1763"/>
      <c r="I49" s="391"/>
    </row>
    <row r="50" spans="1:9" ht="23.25" customHeight="1">
      <c r="A50" s="385"/>
      <c r="B50" s="385"/>
      <c r="D50" s="1763"/>
      <c r="E50" s="1763"/>
      <c r="F50" s="1763"/>
      <c r="I50" s="391"/>
    </row>
    <row r="51" spans="1:9" ht="14.25">
      <c r="A51" s="385"/>
      <c r="B51" s="385"/>
      <c r="D51" s="348"/>
      <c r="I51" s="391"/>
    </row>
    <row r="52" spans="1:9" ht="14.45" customHeight="1">
      <c r="A52" s="385"/>
      <c r="B52" s="386" t="s">
        <v>311</v>
      </c>
      <c r="D52" s="1763" t="s">
        <v>323</v>
      </c>
      <c r="E52" s="1763"/>
      <c r="F52" s="1763"/>
      <c r="I52" s="391"/>
    </row>
    <row r="53" spans="1:9" ht="14.25">
      <c r="A53" s="385"/>
      <c r="B53" s="385"/>
      <c r="D53" s="1763"/>
      <c r="E53" s="1763"/>
      <c r="F53" s="1763"/>
      <c r="I53" s="391"/>
    </row>
    <row r="54" spans="1:9" ht="14.25">
      <c r="A54" s="385"/>
      <c r="B54" s="385"/>
      <c r="D54" s="1763"/>
      <c r="E54" s="1763"/>
      <c r="F54" s="1763"/>
      <c r="I54" s="391"/>
    </row>
    <row r="55" spans="1:9" ht="14.25">
      <c r="A55" s="385"/>
      <c r="B55" s="385"/>
      <c r="I55" s="391"/>
    </row>
    <row r="56" spans="1:9" ht="14.25">
      <c r="A56" s="385"/>
      <c r="B56" s="386" t="s">
        <v>311</v>
      </c>
      <c r="D56" s="1790" t="s">
        <v>324</v>
      </c>
      <c r="E56" s="1790"/>
      <c r="F56" s="1790"/>
      <c r="I56" s="391"/>
    </row>
    <row r="57" spans="1:9" ht="14.25">
      <c r="A57" s="385"/>
      <c r="B57" s="385"/>
      <c r="D57" s="1790"/>
      <c r="E57" s="1790"/>
      <c r="F57" s="1790"/>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763" t="s">
        <v>326</v>
      </c>
      <c r="E61" s="1763"/>
      <c r="F61" s="1763"/>
      <c r="I61" s="391"/>
    </row>
    <row r="62" spans="1:9">
      <c r="D62" s="1763"/>
      <c r="E62" s="1763"/>
      <c r="F62" s="1763"/>
      <c r="I62" s="391"/>
    </row>
    <row r="63" spans="1:9">
      <c r="D63" s="1763"/>
      <c r="E63" s="1763"/>
      <c r="F63" s="1763"/>
      <c r="I63" s="391"/>
    </row>
    <row r="64" spans="1:9">
      <c r="I64" s="391"/>
    </row>
    <row r="65" spans="1:9" ht="14.25">
      <c r="A65" s="385"/>
      <c r="B65" s="386" t="s">
        <v>316</v>
      </c>
      <c r="D65" s="1763" t="s">
        <v>327</v>
      </c>
      <c r="E65" s="1763"/>
      <c r="F65" s="1763"/>
      <c r="I65" s="391"/>
    </row>
    <row r="66" spans="1:9">
      <c r="D66" s="1763"/>
      <c r="E66" s="1763"/>
      <c r="F66" s="1763"/>
      <c r="I66" s="391"/>
    </row>
    <row r="67" spans="1:9">
      <c r="I67" s="391"/>
    </row>
    <row r="68" spans="1:9" ht="14.25">
      <c r="A68" s="385"/>
      <c r="B68" s="386" t="s">
        <v>311</v>
      </c>
      <c r="D68" s="1763" t="s">
        <v>328</v>
      </c>
      <c r="E68" s="1763"/>
      <c r="F68" s="1763"/>
      <c r="I68" s="391"/>
    </row>
    <row r="69" spans="1:9">
      <c r="D69" s="1763"/>
      <c r="E69" s="1763"/>
      <c r="F69" s="1763"/>
      <c r="I69" s="391"/>
    </row>
    <row r="70" spans="1:9">
      <c r="D70" s="1763"/>
      <c r="E70" s="1763"/>
      <c r="F70" s="1763"/>
      <c r="I70" s="391"/>
    </row>
    <row r="71" spans="1:9">
      <c r="I71" s="391"/>
    </row>
    <row r="72" spans="1:9" ht="14.25">
      <c r="A72" s="385"/>
      <c r="B72" s="386" t="s">
        <v>316</v>
      </c>
      <c r="D72" s="1763" t="s">
        <v>329</v>
      </c>
      <c r="E72" s="1763"/>
      <c r="F72" s="1763"/>
      <c r="I72" s="391"/>
    </row>
    <row r="73" spans="1:9">
      <c r="D73" s="1763"/>
      <c r="E73" s="1763"/>
      <c r="F73" s="1763"/>
      <c r="I73" s="391"/>
    </row>
    <row r="74" spans="1:9" ht="14.25">
      <c r="A74" s="385"/>
      <c r="B74" s="385"/>
      <c r="D74" s="348"/>
      <c r="I74" s="391"/>
    </row>
    <row r="75" spans="1:9">
      <c r="A75" s="1764" t="s">
        <v>330</v>
      </c>
      <c r="B75" s="1764"/>
      <c r="C75" s="1764"/>
      <c r="D75" s="1764"/>
      <c r="E75" s="1764"/>
      <c r="F75" s="1764"/>
      <c r="G75" s="1764"/>
      <c r="H75" s="914"/>
      <c r="I75" s="1036"/>
    </row>
    <row r="76" spans="1:9">
      <c r="I76" s="391"/>
    </row>
    <row r="77" spans="1:9">
      <c r="C77" s="387"/>
      <c r="D77" s="1783" t="s">
        <v>331</v>
      </c>
      <c r="E77" s="1783"/>
      <c r="F77" s="1783"/>
      <c r="I77" s="391"/>
    </row>
    <row r="78" spans="1:9">
      <c r="A78" s="348"/>
      <c r="B78" s="348"/>
      <c r="D78" s="1763" t="s">
        <v>332</v>
      </c>
      <c r="E78" s="1763"/>
      <c r="F78" s="1763"/>
      <c r="I78" s="391"/>
    </row>
    <row r="79" spans="1:9">
      <c r="A79" s="348"/>
      <c r="B79" s="348"/>
      <c r="I79" s="391"/>
    </row>
    <row r="80" spans="1:9" ht="13.7" customHeight="1">
      <c r="A80" s="385"/>
      <c r="B80" s="386" t="s">
        <v>311</v>
      </c>
      <c r="D80" s="1763" t="s">
        <v>333</v>
      </c>
      <c r="E80" s="1763"/>
      <c r="F80" s="1763"/>
      <c r="I80" s="391"/>
    </row>
    <row r="81" spans="1:9" ht="14.25">
      <c r="A81" s="385"/>
      <c r="B81" s="385"/>
      <c r="D81" s="1763"/>
      <c r="E81" s="1763"/>
      <c r="F81" s="1763"/>
      <c r="I81" s="391"/>
    </row>
    <row r="82" spans="1:9" ht="14.25">
      <c r="A82" s="385"/>
      <c r="B82" s="385"/>
      <c r="D82" s="1763"/>
      <c r="E82" s="1763"/>
      <c r="F82" s="1763"/>
      <c r="I82" s="391"/>
    </row>
    <row r="83" spans="1:9" ht="14.25">
      <c r="A83" s="385"/>
      <c r="B83" s="385"/>
      <c r="D83" s="1763"/>
      <c r="E83" s="1763"/>
      <c r="F83" s="1763"/>
      <c r="I83" s="391"/>
    </row>
    <row r="84" spans="1:9" ht="14.25">
      <c r="A84" s="385"/>
      <c r="B84" s="385"/>
      <c r="D84" s="1763"/>
      <c r="E84" s="1763"/>
      <c r="F84" s="1763"/>
      <c r="I84" s="391"/>
    </row>
    <row r="85" spans="1:9" ht="14.25">
      <c r="A85" s="385"/>
      <c r="B85" s="385"/>
      <c r="D85" s="1763"/>
      <c r="E85" s="1763"/>
      <c r="F85" s="1763"/>
      <c r="I85" s="391"/>
    </row>
    <row r="86" spans="1:9" ht="14.25">
      <c r="A86" s="385"/>
      <c r="B86" s="385"/>
      <c r="D86" s="1763"/>
      <c r="E86" s="1763"/>
      <c r="F86" s="1763"/>
      <c r="I86" s="391"/>
    </row>
    <row r="87" spans="1:9" ht="14.25">
      <c r="A87" s="385"/>
      <c r="B87" s="385"/>
      <c r="D87" s="1763"/>
      <c r="E87" s="1763"/>
      <c r="F87" s="1763"/>
      <c r="I87" s="391"/>
    </row>
    <row r="88" spans="1:9" ht="14.25">
      <c r="A88" s="385"/>
      <c r="B88" s="385"/>
      <c r="D88" s="288"/>
      <c r="E88" s="288"/>
      <c r="F88" s="288"/>
      <c r="I88" s="391"/>
    </row>
    <row r="89" spans="1:9" ht="15" customHeight="1">
      <c r="A89" s="385"/>
      <c r="B89" s="386" t="s">
        <v>311</v>
      </c>
      <c r="D89" s="1763" t="s">
        <v>334</v>
      </c>
      <c r="E89" s="1763"/>
      <c r="F89" s="1763"/>
      <c r="I89" s="391"/>
    </row>
    <row r="90" spans="1:9" ht="14.25">
      <c r="A90" s="385"/>
      <c r="B90" s="385"/>
      <c r="D90" s="1763"/>
      <c r="E90" s="1763"/>
      <c r="F90" s="1763"/>
      <c r="I90" s="391"/>
    </row>
    <row r="91" spans="1:9" ht="14.25">
      <c r="A91" s="385"/>
      <c r="B91" s="385"/>
      <c r="D91" s="347"/>
      <c r="E91" s="347"/>
      <c r="F91" s="347"/>
      <c r="I91" s="391"/>
    </row>
    <row r="92" spans="1:9" ht="14.25">
      <c r="A92" s="385"/>
      <c r="B92" s="386" t="s">
        <v>311</v>
      </c>
      <c r="D92" s="1763" t="s">
        <v>335</v>
      </c>
      <c r="E92" s="1763"/>
      <c r="F92" s="1763"/>
      <c r="I92" s="391"/>
    </row>
    <row r="93" spans="1:9" ht="14.25">
      <c r="A93" s="385"/>
      <c r="B93" s="385"/>
      <c r="D93" s="1763"/>
      <c r="E93" s="1763"/>
      <c r="F93" s="1763"/>
      <c r="I93" s="391"/>
    </row>
    <row r="94" spans="1:9" ht="14.25">
      <c r="A94" s="385"/>
      <c r="B94" s="385"/>
      <c r="D94" s="1763"/>
      <c r="E94" s="1763"/>
      <c r="F94" s="1763"/>
      <c r="I94" s="391"/>
    </row>
    <row r="95" spans="1:9" ht="14.25">
      <c r="A95" s="385"/>
      <c r="B95" s="385"/>
      <c r="D95" s="347"/>
      <c r="E95" s="347"/>
      <c r="F95" s="347"/>
      <c r="I95" s="391"/>
    </row>
    <row r="96" spans="1:9" ht="14.25">
      <c r="A96" s="385"/>
      <c r="B96" s="386" t="s">
        <v>311</v>
      </c>
      <c r="D96" s="1763" t="s">
        <v>336</v>
      </c>
      <c r="E96" s="1763"/>
      <c r="F96" s="1763"/>
      <c r="I96" s="391"/>
    </row>
    <row r="97" spans="1:9" s="876" customFormat="1" ht="14.25">
      <c r="A97" s="874"/>
      <c r="B97" s="874"/>
      <c r="C97" s="875"/>
      <c r="D97" s="1763"/>
      <c r="E97" s="1763"/>
      <c r="F97" s="1763"/>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763" t="s">
        <v>338</v>
      </c>
      <c r="E100" s="1763"/>
      <c r="F100" s="1763"/>
      <c r="I100" s="391"/>
    </row>
    <row r="101" spans="1:9" ht="14.25">
      <c r="A101" s="385"/>
      <c r="B101" s="385"/>
      <c r="D101" s="1763"/>
      <c r="E101" s="1763"/>
      <c r="F101" s="1763"/>
      <c r="I101" s="391"/>
    </row>
    <row r="102" spans="1:9" ht="14.25">
      <c r="A102" s="385"/>
      <c r="B102" s="385"/>
      <c r="D102" s="347"/>
      <c r="E102" s="347"/>
      <c r="F102" s="347"/>
      <c r="I102" s="391"/>
    </row>
    <row r="103" spans="1:9" ht="14.45" customHeight="1">
      <c r="A103" s="385"/>
      <c r="B103" s="386" t="s">
        <v>316</v>
      </c>
      <c r="D103" s="1763" t="s">
        <v>339</v>
      </c>
      <c r="E103" s="1763"/>
      <c r="F103" s="1763"/>
      <c r="I103" s="391"/>
    </row>
    <row r="104" spans="1:9" ht="14.25">
      <c r="A104" s="385"/>
      <c r="B104" s="385"/>
      <c r="D104" s="1763"/>
      <c r="E104" s="1763"/>
      <c r="F104" s="1763"/>
      <c r="I104" s="391"/>
    </row>
    <row r="105" spans="1:9" ht="14.25">
      <c r="A105" s="385"/>
      <c r="B105" s="385"/>
      <c r="D105" s="1763"/>
      <c r="E105" s="1763"/>
      <c r="F105" s="1763"/>
      <c r="I105" s="391"/>
    </row>
    <row r="106" spans="1:9" ht="14.25">
      <c r="A106" s="385"/>
      <c r="B106" s="385"/>
      <c r="D106" s="1763"/>
      <c r="E106" s="1763"/>
      <c r="F106" s="1763"/>
      <c r="I106" s="391"/>
    </row>
    <row r="107" spans="1:9" ht="14.25">
      <c r="A107" s="385"/>
      <c r="B107" s="385"/>
      <c r="D107" s="1763"/>
      <c r="E107" s="1763"/>
      <c r="F107" s="1763"/>
      <c r="I107" s="391"/>
    </row>
    <row r="108" spans="1:9" ht="14.25">
      <c r="A108" s="385"/>
      <c r="B108" s="385"/>
      <c r="D108" s="1763"/>
      <c r="E108" s="1763"/>
      <c r="F108" s="1763"/>
      <c r="I108" s="391"/>
    </row>
    <row r="109" spans="1:9" ht="14.25">
      <c r="A109" s="385"/>
      <c r="B109" s="385"/>
      <c r="D109" s="1763"/>
      <c r="E109" s="1763"/>
      <c r="F109" s="1763"/>
      <c r="I109" s="391"/>
    </row>
    <row r="110" spans="1:9" ht="14.25">
      <c r="A110" s="385"/>
      <c r="B110" s="385"/>
      <c r="D110" s="1763"/>
      <c r="E110" s="1763"/>
      <c r="F110" s="1763"/>
      <c r="I110" s="391"/>
    </row>
    <row r="111" spans="1:9" ht="14.25">
      <c r="A111" s="385"/>
      <c r="B111" s="385"/>
      <c r="D111" s="1763"/>
      <c r="E111" s="1763"/>
      <c r="F111" s="1763"/>
      <c r="I111" s="391"/>
    </row>
    <row r="112" spans="1:9" ht="14.25">
      <c r="A112" s="385"/>
      <c r="B112" s="385"/>
      <c r="D112" s="1763"/>
      <c r="E112" s="1763"/>
      <c r="F112" s="1763"/>
      <c r="I112" s="391"/>
    </row>
    <row r="113" spans="1:9" ht="14.25">
      <c r="A113" s="385"/>
      <c r="B113" s="385"/>
      <c r="D113" s="1763"/>
      <c r="E113" s="1763"/>
      <c r="F113" s="1763"/>
      <c r="I113" s="391"/>
    </row>
    <row r="114" spans="1:9" ht="14.25">
      <c r="A114" s="385"/>
      <c r="B114" s="385"/>
      <c r="D114" s="1763"/>
      <c r="E114" s="1763"/>
      <c r="F114" s="1763"/>
      <c r="I114" s="391"/>
    </row>
    <row r="115" spans="1:9" ht="14.25">
      <c r="A115" s="385"/>
      <c r="B115" s="385"/>
      <c r="D115" s="1763"/>
      <c r="E115" s="1763"/>
      <c r="F115" s="1763"/>
      <c r="I115" s="391"/>
    </row>
    <row r="116" spans="1:9" ht="14.25">
      <c r="A116" s="385"/>
      <c r="B116" s="385"/>
      <c r="D116" s="1763"/>
      <c r="E116" s="1763"/>
      <c r="F116" s="1763"/>
      <c r="I116" s="391"/>
    </row>
    <row r="117" spans="1:9" ht="14.25">
      <c r="A117" s="385"/>
      <c r="B117" s="385"/>
      <c r="D117" s="1763"/>
      <c r="E117" s="1763"/>
      <c r="F117" s="1763"/>
      <c r="I117" s="391"/>
    </row>
    <row r="118" spans="1:9" ht="14.25">
      <c r="A118" s="385"/>
      <c r="B118" s="385"/>
      <c r="D118" s="424"/>
      <c r="E118" s="424"/>
      <c r="F118" s="424"/>
      <c r="I118" s="391"/>
    </row>
    <row r="119" spans="1:9" ht="14.25" customHeight="1">
      <c r="A119" s="385"/>
      <c r="B119" s="386" t="s">
        <v>316</v>
      </c>
      <c r="D119" s="1789" t="s">
        <v>340</v>
      </c>
      <c r="E119" s="1789"/>
      <c r="F119" s="1789"/>
      <c r="I119" s="391"/>
    </row>
    <row r="120" spans="1:9" ht="14.25">
      <c r="A120" s="385"/>
      <c r="B120" s="385"/>
      <c r="D120" s="1789"/>
      <c r="E120" s="1789"/>
      <c r="F120" s="1789"/>
      <c r="I120" s="391"/>
    </row>
    <row r="121" spans="1:9" ht="14.25">
      <c r="A121" s="385"/>
      <c r="B121" s="385"/>
      <c r="D121" s="1789"/>
      <c r="E121" s="1789"/>
      <c r="F121" s="1789"/>
      <c r="I121" s="391"/>
    </row>
    <row r="122" spans="1:9" ht="14.25">
      <c r="A122" s="385"/>
      <c r="B122" s="385"/>
      <c r="D122" s="1789"/>
      <c r="E122" s="1789"/>
      <c r="F122" s="1789"/>
      <c r="I122" s="391"/>
    </row>
    <row r="123" spans="1:9" ht="14.25">
      <c r="A123" s="385"/>
      <c r="B123" s="385"/>
      <c r="D123" s="1789"/>
      <c r="E123" s="1789"/>
      <c r="F123" s="1789"/>
      <c r="I123" s="391"/>
    </row>
    <row r="124" spans="1:9" ht="14.25">
      <c r="A124" s="385"/>
      <c r="B124" s="385"/>
      <c r="D124" s="1789"/>
      <c r="E124" s="1789"/>
      <c r="F124" s="1789"/>
      <c r="I124" s="391"/>
    </row>
    <row r="125" spans="1:9" ht="14.25">
      <c r="A125" s="385"/>
      <c r="B125" s="385"/>
      <c r="D125" s="1789"/>
      <c r="E125" s="1789"/>
      <c r="F125" s="1789"/>
      <c r="I125" s="391"/>
    </row>
    <row r="126" spans="1:9" ht="14.25">
      <c r="A126" s="385"/>
      <c r="B126" s="385"/>
      <c r="D126" s="1789"/>
      <c r="E126" s="1789"/>
      <c r="F126" s="1789"/>
      <c r="I126" s="391"/>
    </row>
    <row r="127" spans="1:9">
      <c r="C127" s="305"/>
      <c r="D127" s="425"/>
      <c r="E127" s="425"/>
      <c r="F127" s="425"/>
      <c r="I127" s="391"/>
    </row>
    <row r="128" spans="1:9" ht="14.25">
      <c r="A128" s="385"/>
      <c r="B128" s="386" t="s">
        <v>311</v>
      </c>
      <c r="C128" s="305"/>
      <c r="D128" s="1789" t="s">
        <v>341</v>
      </c>
      <c r="E128" s="1789"/>
      <c r="F128" s="1789"/>
      <c r="I128" s="391"/>
    </row>
    <row r="129" spans="1:9" ht="14.25">
      <c r="A129" s="385"/>
      <c r="B129" s="385"/>
      <c r="C129" s="305"/>
      <c r="D129" s="1789"/>
      <c r="E129" s="1789"/>
      <c r="F129" s="1789"/>
      <c r="I129" s="391"/>
    </row>
    <row r="130" spans="1:9">
      <c r="I130" s="391"/>
    </row>
    <row r="131" spans="1:9" ht="14.25">
      <c r="A131" s="385"/>
      <c r="B131" s="386" t="s">
        <v>311</v>
      </c>
      <c r="D131" s="1763" t="s">
        <v>342</v>
      </c>
      <c r="E131" s="1763"/>
      <c r="F131" s="1763"/>
      <c r="I131" s="391"/>
    </row>
    <row r="132" spans="1:9">
      <c r="D132" s="1763"/>
      <c r="E132" s="1763"/>
      <c r="F132" s="1763"/>
      <c r="I132" s="391"/>
    </row>
    <row r="133" spans="1:9">
      <c r="D133" s="1763"/>
      <c r="E133" s="1763"/>
      <c r="F133" s="1763"/>
      <c r="I133" s="391"/>
    </row>
    <row r="134" spans="1:9">
      <c r="D134" s="1763"/>
      <c r="E134" s="1763"/>
      <c r="F134" s="1763"/>
      <c r="I134" s="391"/>
    </row>
    <row r="135" spans="1:9">
      <c r="D135" s="1763"/>
      <c r="E135" s="1763"/>
      <c r="F135" s="1763"/>
      <c r="I135" s="391"/>
    </row>
    <row r="136" spans="1:9">
      <c r="I136" s="391"/>
    </row>
    <row r="137" spans="1:9" ht="14.25">
      <c r="A137" s="385"/>
      <c r="B137" s="386" t="s">
        <v>311</v>
      </c>
      <c r="D137" s="1763" t="s">
        <v>343</v>
      </c>
      <c r="E137" s="1763"/>
      <c r="F137" s="1763"/>
      <c r="I137" s="391"/>
    </row>
    <row r="138" spans="1:9" s="320" customFormat="1" ht="13.7" customHeight="1">
      <c r="A138" s="389"/>
      <c r="B138" s="389"/>
      <c r="C138" s="389"/>
      <c r="D138" s="1763"/>
      <c r="E138" s="1763"/>
      <c r="F138" s="1763"/>
      <c r="I138" s="1038"/>
    </row>
    <row r="139" spans="1:9" ht="13.7" customHeight="1">
      <c r="D139" s="1763"/>
      <c r="E139" s="1763"/>
      <c r="F139" s="1763"/>
      <c r="I139" s="391"/>
    </row>
    <row r="140" spans="1:9" ht="13.7" customHeight="1">
      <c r="D140" s="1763"/>
      <c r="E140" s="1763"/>
      <c r="F140" s="1763"/>
      <c r="I140" s="391"/>
    </row>
    <row r="141" spans="1:9" ht="13.7" customHeight="1">
      <c r="D141" s="1763"/>
      <c r="E141" s="1763"/>
      <c r="F141" s="1763"/>
      <c r="I141" s="391"/>
    </row>
    <row r="142" spans="1:9" ht="13.7" customHeight="1">
      <c r="A142" s="390"/>
      <c r="B142" s="390"/>
      <c r="D142" s="1763"/>
      <c r="E142" s="1763"/>
      <c r="F142" s="1763"/>
      <c r="I142" s="391"/>
    </row>
    <row r="143" spans="1:9" ht="13.7" customHeight="1">
      <c r="D143" s="1763"/>
      <c r="E143" s="1763"/>
      <c r="F143" s="1763"/>
      <c r="I143" s="391"/>
    </row>
    <row r="144" spans="1:9" ht="13.7" customHeight="1">
      <c r="D144" s="1763"/>
      <c r="E144" s="1763"/>
      <c r="F144" s="1763"/>
      <c r="I144" s="391"/>
    </row>
    <row r="145" spans="2:9" ht="13.7" customHeight="1">
      <c r="D145" s="1763"/>
      <c r="E145" s="1763"/>
      <c r="F145" s="1763"/>
      <c r="I145" s="391"/>
    </row>
    <row r="146" spans="2:9" ht="13.7" customHeight="1">
      <c r="D146" s="1763"/>
      <c r="E146" s="1763"/>
      <c r="F146" s="1763"/>
      <c r="I146" s="391"/>
    </row>
    <row r="147" spans="2:9" ht="13.7" customHeight="1">
      <c r="D147" s="1763"/>
      <c r="E147" s="1763"/>
      <c r="F147" s="1763"/>
      <c r="I147" s="391"/>
    </row>
    <row r="148" spans="2:9" ht="13.7" customHeight="1">
      <c r="D148" s="1763"/>
      <c r="E148" s="1763"/>
      <c r="F148" s="1763"/>
      <c r="I148" s="391"/>
    </row>
    <row r="149" spans="2:9" ht="13.7" customHeight="1">
      <c r="D149" s="1763"/>
      <c r="E149" s="1763"/>
      <c r="F149" s="1763"/>
      <c r="I149" s="391"/>
    </row>
    <row r="150" spans="2:9" ht="13.7" customHeight="1">
      <c r="D150" s="377"/>
      <c r="E150" s="348"/>
      <c r="F150" s="348"/>
      <c r="I150" s="391"/>
    </row>
    <row r="151" spans="2:9" ht="13.7" customHeight="1">
      <c r="B151" s="386" t="s">
        <v>311</v>
      </c>
      <c r="D151" s="1763" t="s">
        <v>344</v>
      </c>
      <c r="E151" s="1763"/>
      <c r="F151" s="1763"/>
      <c r="I151" s="391"/>
    </row>
    <row r="152" spans="2:9" ht="13.7" customHeight="1">
      <c r="D152" s="1763"/>
      <c r="E152" s="1763"/>
      <c r="F152" s="1763"/>
      <c r="I152" s="391"/>
    </row>
    <row r="153" spans="2:9" ht="13.7" customHeight="1">
      <c r="D153" s="1763"/>
      <c r="E153" s="1763"/>
      <c r="F153" s="1763"/>
      <c r="I153" s="391"/>
    </row>
    <row r="154" spans="2:9" ht="13.7" customHeight="1">
      <c r="D154" s="1763"/>
      <c r="E154" s="1763"/>
      <c r="F154" s="1763"/>
      <c r="I154" s="391"/>
    </row>
    <row r="155" spans="2:9" ht="13.7" customHeight="1">
      <c r="D155" s="1763"/>
      <c r="E155" s="1763"/>
      <c r="F155" s="1763"/>
      <c r="I155" s="391"/>
    </row>
    <row r="156" spans="2:9" ht="13.7" customHeight="1">
      <c r="D156" s="1763"/>
      <c r="E156" s="1763"/>
      <c r="F156" s="1763"/>
      <c r="I156" s="391"/>
    </row>
    <row r="157" spans="2:9" ht="13.7" customHeight="1">
      <c r="D157" s="1763"/>
      <c r="E157" s="1763"/>
      <c r="F157" s="1763"/>
      <c r="I157" s="391"/>
    </row>
    <row r="158" spans="2:9" ht="13.7" customHeight="1">
      <c r="D158" s="1763"/>
      <c r="E158" s="1763"/>
      <c r="F158" s="1763"/>
      <c r="I158" s="391"/>
    </row>
    <row r="159" spans="2:9" ht="13.7" customHeight="1">
      <c r="D159" s="1763"/>
      <c r="E159" s="1763"/>
      <c r="F159" s="1763"/>
      <c r="I159" s="391"/>
    </row>
    <row r="160" spans="2:9" ht="13.7" customHeight="1">
      <c r="D160" s="1763"/>
      <c r="E160" s="1763"/>
      <c r="F160" s="1763"/>
      <c r="I160" s="391"/>
    </row>
    <row r="161" spans="1:9" ht="13.7" customHeight="1">
      <c r="D161" s="1763"/>
      <c r="E161" s="1763"/>
      <c r="F161" s="1763"/>
      <c r="I161" s="391"/>
    </row>
    <row r="162" spans="1:9" ht="13.7" customHeight="1">
      <c r="D162" s="1763"/>
      <c r="E162" s="1763"/>
      <c r="F162" s="1763"/>
      <c r="I162" s="391"/>
    </row>
    <row r="163" spans="1:9" ht="13.7" customHeight="1">
      <c r="D163" s="1763"/>
      <c r="E163" s="1763"/>
      <c r="F163" s="1763"/>
      <c r="I163" s="391"/>
    </row>
    <row r="164" spans="1:9" ht="13.7" customHeight="1">
      <c r="D164" s="1763"/>
      <c r="E164" s="1763"/>
      <c r="F164" s="1763"/>
      <c r="I164" s="391"/>
    </row>
    <row r="165" spans="1:9" ht="13.7" customHeight="1">
      <c r="D165" s="1763"/>
      <c r="E165" s="1763"/>
      <c r="F165" s="1763"/>
      <c r="I165" s="391"/>
    </row>
    <row r="166" spans="1:9" ht="13.7" customHeight="1">
      <c r="D166" s="1763"/>
      <c r="E166" s="1763"/>
      <c r="F166" s="1763"/>
      <c r="I166" s="391"/>
    </row>
    <row r="167" spans="1:9" ht="13.7" customHeight="1">
      <c r="D167" s="1763"/>
      <c r="E167" s="1763"/>
      <c r="F167" s="1763"/>
      <c r="I167" s="391"/>
    </row>
    <row r="168" spans="1:9" ht="13.7" customHeight="1">
      <c r="D168" s="1763"/>
      <c r="E168" s="1763"/>
      <c r="F168" s="1763"/>
      <c r="I168" s="391"/>
    </row>
    <row r="169" spans="1:9" ht="13.7" customHeight="1">
      <c r="D169" s="1786" t="s">
        <v>345</v>
      </c>
      <c r="E169" s="1786"/>
      <c r="F169" s="1786"/>
      <c r="G169" s="408"/>
      <c r="I169" s="391"/>
    </row>
    <row r="170" spans="1:9" ht="13.7" customHeight="1">
      <c r="D170" s="1773"/>
      <c r="E170" s="1773"/>
      <c r="F170" s="1773"/>
      <c r="G170" s="1773"/>
      <c r="I170" s="391"/>
    </row>
    <row r="171" spans="1:9" ht="14.45" customHeight="1">
      <c r="A171" s="390"/>
      <c r="B171" s="386" t="s">
        <v>316</v>
      </c>
      <c r="C171" s="377"/>
      <c r="D171" s="1737" t="s">
        <v>346</v>
      </c>
      <c r="E171" s="1737"/>
      <c r="F171" s="1737"/>
      <c r="G171" s="377"/>
      <c r="I171" s="391"/>
    </row>
    <row r="172" spans="1:9" ht="14.45" customHeight="1">
      <c r="A172" s="390"/>
      <c r="B172" s="390"/>
      <c r="C172" s="377"/>
      <c r="D172" s="1737"/>
      <c r="E172" s="1737"/>
      <c r="F172" s="1737"/>
      <c r="G172" s="377"/>
      <c r="I172" s="391"/>
    </row>
    <row r="173" spans="1:9" ht="14.45" customHeight="1">
      <c r="A173" s="390"/>
      <c r="B173" s="390"/>
      <c r="C173" s="377"/>
      <c r="D173" s="1737"/>
      <c r="E173" s="1737"/>
      <c r="F173" s="1737"/>
      <c r="G173" s="377"/>
      <c r="I173" s="391"/>
    </row>
    <row r="174" spans="1:9" ht="14.45" customHeight="1">
      <c r="A174" s="390"/>
      <c r="B174" s="390"/>
      <c r="C174" s="377"/>
      <c r="D174" s="1737"/>
      <c r="E174" s="1737"/>
      <c r="F174" s="1737"/>
      <c r="G174" s="377"/>
      <c r="I174" s="391"/>
    </row>
    <row r="175" spans="1:9" ht="13.7" customHeight="1">
      <c r="A175" s="390"/>
      <c r="B175" s="390"/>
      <c r="C175" s="377"/>
      <c r="D175" s="1737"/>
      <c r="E175" s="1737"/>
      <c r="F175" s="1737"/>
      <c r="G175" s="377"/>
      <c r="I175" s="391"/>
    </row>
    <row r="176" spans="1:9" ht="13.7" customHeight="1">
      <c r="A176" s="390"/>
      <c r="B176" s="390"/>
      <c r="C176" s="377"/>
      <c r="D176" s="377"/>
      <c r="E176" s="377"/>
      <c r="F176" s="377"/>
      <c r="G176" s="377"/>
      <c r="I176" s="391"/>
    </row>
    <row r="177" spans="1:9" ht="13.7" customHeight="1">
      <c r="A177" s="390"/>
      <c r="B177" s="386" t="s">
        <v>311</v>
      </c>
      <c r="C177" s="377"/>
      <c r="D177" s="1737" t="s">
        <v>347</v>
      </c>
      <c r="E177" s="1737"/>
      <c r="F177" s="1737"/>
      <c r="G177" s="377"/>
      <c r="I177" s="391"/>
    </row>
    <row r="178" spans="1:9" ht="13.7" customHeight="1">
      <c r="A178" s="390"/>
      <c r="B178" s="390"/>
      <c r="C178" s="377"/>
      <c r="D178" s="1737"/>
      <c r="E178" s="1737"/>
      <c r="F178" s="1737"/>
      <c r="G178" s="377"/>
      <c r="I178" s="391"/>
    </row>
    <row r="179" spans="1:9" ht="13.7" customHeight="1">
      <c r="A179" s="390"/>
      <c r="B179" s="390"/>
      <c r="C179" s="377"/>
      <c r="D179" s="1737"/>
      <c r="E179" s="1737"/>
      <c r="F179" s="1737"/>
      <c r="G179" s="377"/>
      <c r="I179" s="391"/>
    </row>
    <row r="180" spans="1:9" ht="13.7" customHeight="1">
      <c r="A180" s="390"/>
      <c r="B180" s="390"/>
      <c r="C180" s="377"/>
      <c r="D180" s="1737"/>
      <c r="E180" s="1737"/>
      <c r="F180" s="1737"/>
      <c r="G180" s="377"/>
      <c r="I180" s="391"/>
    </row>
    <row r="181" spans="1:9" ht="13.7" customHeight="1">
      <c r="D181" s="348"/>
      <c r="E181" s="348"/>
      <c r="F181" s="348"/>
      <c r="I181" s="391"/>
    </row>
    <row r="182" spans="1:9" ht="13.7" hidden="1" customHeight="1">
      <c r="B182" s="386" t="s">
        <v>316</v>
      </c>
      <c r="D182" s="1779" t="s">
        <v>348</v>
      </c>
      <c r="E182" s="1779"/>
      <c r="F182" s="1779"/>
      <c r="I182" s="391"/>
    </row>
    <row r="183" spans="1:9" ht="13.7" hidden="1" customHeight="1">
      <c r="D183" s="1779"/>
      <c r="E183" s="1779"/>
      <c r="F183" s="1779"/>
      <c r="I183" s="391"/>
    </row>
    <row r="184" spans="1:9" ht="13.7" hidden="1" customHeight="1">
      <c r="D184" s="1779"/>
      <c r="E184" s="1779"/>
      <c r="F184" s="1779"/>
      <c r="I184" s="391"/>
    </row>
    <row r="185" spans="1:9" ht="13.7" customHeight="1">
      <c r="A185" s="391"/>
      <c r="B185" s="391"/>
      <c r="E185" s="348"/>
      <c r="F185" s="348"/>
      <c r="I185" s="391"/>
    </row>
    <row r="186" spans="1:9">
      <c r="A186" s="1764" t="s">
        <v>349</v>
      </c>
      <c r="B186" s="1764"/>
      <c r="C186" s="1764"/>
      <c r="D186" s="1764"/>
      <c r="E186" s="1764"/>
      <c r="F186" s="1764"/>
      <c r="G186" s="1764"/>
      <c r="H186" s="914"/>
      <c r="I186" s="1036"/>
    </row>
    <row r="187" spans="1:9" ht="12" customHeight="1">
      <c r="D187" s="348"/>
      <c r="E187" s="348"/>
      <c r="F187" s="348"/>
      <c r="I187" s="391"/>
    </row>
    <row r="188" spans="1:9">
      <c r="B188" s="1769" t="s">
        <v>350</v>
      </c>
      <c r="C188" s="1769"/>
      <c r="D188" s="1769"/>
      <c r="E188" s="1769"/>
      <c r="F188" s="1769"/>
      <c r="I188" s="391"/>
    </row>
    <row r="189" spans="1:9">
      <c r="B189" s="295" t="s">
        <v>351</v>
      </c>
      <c r="C189" s="295"/>
      <c r="D189" s="295"/>
      <c r="E189" s="295"/>
      <c r="F189" s="295"/>
      <c r="I189" s="391"/>
    </row>
    <row r="190" spans="1:9" ht="12" customHeight="1">
      <c r="A190" s="383"/>
      <c r="B190" s="383"/>
      <c r="C190" s="383"/>
      <c r="I190" s="391"/>
    </row>
    <row r="191" spans="1:9">
      <c r="A191" s="1764" t="s">
        <v>352</v>
      </c>
      <c r="B191" s="1764"/>
      <c r="C191" s="1764"/>
      <c r="D191" s="1764"/>
      <c r="E191" s="1764"/>
      <c r="F191" s="1764"/>
      <c r="G191" s="1764"/>
      <c r="H191" s="914"/>
      <c r="I191" s="1036"/>
    </row>
    <row r="192" spans="1:9" ht="12" customHeight="1">
      <c r="A192" s="307"/>
      <c r="B192" s="307"/>
      <c r="E192" s="307"/>
      <c r="I192" s="391"/>
    </row>
    <row r="193" spans="1:9" ht="13.7" customHeight="1">
      <c r="A193" s="307"/>
      <c r="B193" s="307"/>
      <c r="D193" s="1783" t="s">
        <v>353</v>
      </c>
      <c r="E193" s="1783"/>
      <c r="F193" s="1783"/>
      <c r="I193" s="391"/>
    </row>
    <row r="194" spans="1:9">
      <c r="A194" s="307"/>
      <c r="B194" s="307"/>
      <c r="D194" s="1783"/>
      <c r="E194" s="1783"/>
      <c r="F194" s="1783"/>
      <c r="I194" s="391"/>
    </row>
    <row r="195" spans="1:9">
      <c r="A195" s="307"/>
      <c r="B195" s="307"/>
      <c r="D195" s="1769" t="s">
        <v>354</v>
      </c>
      <c r="E195" s="1769"/>
      <c r="F195" s="1769"/>
      <c r="I195" s="391"/>
    </row>
    <row r="196" spans="1:9">
      <c r="A196" s="307"/>
      <c r="B196" s="307"/>
      <c r="D196" s="295"/>
      <c r="E196" s="295"/>
      <c r="F196" s="295"/>
      <c r="I196" s="391"/>
    </row>
    <row r="197" spans="1:9">
      <c r="A197" s="307"/>
      <c r="B197" s="386" t="s">
        <v>311</v>
      </c>
      <c r="D197" s="1755" t="s">
        <v>355</v>
      </c>
      <c r="E197" s="1755"/>
      <c r="F197" s="1755"/>
      <c r="I197" s="391"/>
    </row>
    <row r="198" spans="1:9">
      <c r="A198" s="307"/>
      <c r="B198" s="307"/>
      <c r="D198" s="1746" t="s">
        <v>356</v>
      </c>
      <c r="E198" s="1746"/>
      <c r="F198" s="1746"/>
      <c r="I198" s="391"/>
    </row>
    <row r="199" spans="1:9">
      <c r="A199" s="307"/>
      <c r="B199" s="307"/>
      <c r="D199" s="71" t="s">
        <v>357</v>
      </c>
      <c r="E199" s="1791" t="s">
        <v>358</v>
      </c>
      <c r="F199" s="1791"/>
      <c r="I199" s="391"/>
    </row>
    <row r="200" spans="1:9">
      <c r="A200" s="307"/>
      <c r="B200" s="307"/>
      <c r="D200" s="3"/>
      <c r="E200" s="3"/>
      <c r="F200" s="3"/>
      <c r="I200" s="391"/>
    </row>
    <row r="201" spans="1:9">
      <c r="A201" s="307"/>
      <c r="B201" s="386" t="s">
        <v>316</v>
      </c>
      <c r="D201" s="1746" t="s">
        <v>359</v>
      </c>
      <c r="E201" s="1746"/>
      <c r="F201" s="1746"/>
      <c r="I201" s="391"/>
    </row>
    <row r="202" spans="1:9">
      <c r="A202" s="307"/>
      <c r="B202" s="307"/>
      <c r="D202" s="1755" t="s">
        <v>356</v>
      </c>
      <c r="E202" s="1755"/>
      <c r="F202" s="1755"/>
      <c r="I202" s="391"/>
    </row>
    <row r="203" spans="1:9">
      <c r="A203" s="307"/>
      <c r="B203" s="307"/>
      <c r="D203" s="49" t="s">
        <v>360</v>
      </c>
      <c r="E203" s="1791" t="s">
        <v>361</v>
      </c>
      <c r="F203" s="1791"/>
      <c r="I203" s="391"/>
    </row>
    <row r="204" spans="1:9">
      <c r="A204" s="307"/>
      <c r="B204" s="307"/>
      <c r="D204" s="3"/>
      <c r="E204" s="3"/>
      <c r="F204" s="3"/>
      <c r="I204" s="391"/>
    </row>
    <row r="205" spans="1:9">
      <c r="A205" s="307"/>
      <c r="B205" s="386" t="s">
        <v>316</v>
      </c>
      <c r="D205" s="1746" t="s">
        <v>362</v>
      </c>
      <c r="E205" s="1746"/>
      <c r="F205" s="1746"/>
      <c r="I205" s="391"/>
    </row>
    <row r="206" spans="1:9">
      <c r="A206" s="307"/>
      <c r="B206" s="307"/>
      <c r="D206" s="1755" t="s">
        <v>356</v>
      </c>
      <c r="E206" s="1755"/>
      <c r="F206" s="1755"/>
      <c r="I206" s="391"/>
    </row>
    <row r="207" spans="1:9">
      <c r="A207" s="307"/>
      <c r="B207" s="307"/>
      <c r="D207" s="49" t="s">
        <v>357</v>
      </c>
      <c r="E207" s="1791" t="s">
        <v>363</v>
      </c>
      <c r="F207" s="1791"/>
      <c r="I207" s="391"/>
    </row>
    <row r="208" spans="1:9">
      <c r="A208" s="307"/>
      <c r="B208" s="307"/>
      <c r="D208" s="295"/>
      <c r="E208" s="295"/>
      <c r="F208" s="295"/>
      <c r="I208" s="391"/>
    </row>
    <row r="209" spans="1:9" ht="14.25" customHeight="1">
      <c r="A209" s="385"/>
      <c r="B209" s="386" t="s">
        <v>316</v>
      </c>
      <c r="D209" s="289" t="s">
        <v>364</v>
      </c>
      <c r="E209" s="288"/>
      <c r="F209" s="288"/>
      <c r="I209" s="391"/>
    </row>
    <row r="210" spans="1:9" ht="14.25">
      <c r="A210" s="385"/>
      <c r="B210" s="385"/>
      <c r="D210" s="1755" t="s">
        <v>356</v>
      </c>
      <c r="E210" s="1755"/>
      <c r="F210" s="1755"/>
      <c r="I210" s="391"/>
    </row>
    <row r="211" spans="1:9">
      <c r="D211" s="288"/>
      <c r="E211" s="1791" t="s">
        <v>365</v>
      </c>
      <c r="F211" s="1791"/>
      <c r="I211" s="391"/>
    </row>
    <row r="212" spans="1:9">
      <c r="D212" s="349"/>
      <c r="I212" s="391"/>
    </row>
    <row r="213" spans="1:9">
      <c r="B213" s="386" t="s">
        <v>316</v>
      </c>
      <c r="D213" s="1746" t="s">
        <v>366</v>
      </c>
      <c r="E213" s="1746"/>
      <c r="F213" s="1746"/>
      <c r="I213" s="391"/>
    </row>
    <row r="214" spans="1:9">
      <c r="D214" s="1755" t="s">
        <v>356</v>
      </c>
      <c r="E214" s="1755"/>
      <c r="F214" s="1755"/>
      <c r="I214" s="391"/>
    </row>
    <row r="215" spans="1:9">
      <c r="D215" s="49" t="s">
        <v>357</v>
      </c>
      <c r="E215" s="1791" t="s">
        <v>367</v>
      </c>
      <c r="F215" s="1791"/>
      <c r="I215" s="391"/>
    </row>
    <row r="216" spans="1:9">
      <c r="D216" s="353"/>
      <c r="E216" s="353"/>
      <c r="F216" s="353"/>
      <c r="I216" s="391"/>
    </row>
    <row r="217" spans="1:9" ht="14.25">
      <c r="A217" s="385"/>
      <c r="B217" s="386" t="s">
        <v>316</v>
      </c>
      <c r="D217" s="1763" t="s">
        <v>368</v>
      </c>
      <c r="E217" s="1763"/>
      <c r="F217" s="1763"/>
      <c r="I217" s="391"/>
    </row>
    <row r="218" spans="1:9" ht="14.45" customHeight="1">
      <c r="A218" s="385"/>
      <c r="B218" s="305"/>
      <c r="D218" s="1763"/>
      <c r="E218" s="1763"/>
      <c r="F218" s="1763"/>
      <c r="I218" s="391"/>
    </row>
    <row r="219" spans="1:9" ht="14.25">
      <c r="A219" s="385"/>
      <c r="D219" s="1763"/>
      <c r="E219" s="1763"/>
      <c r="F219" s="1763"/>
      <c r="I219" s="391"/>
    </row>
    <row r="220" spans="1:9" ht="14.25">
      <c r="A220" s="385"/>
      <c r="D220" s="1763"/>
      <c r="E220" s="1763"/>
      <c r="F220" s="1763"/>
      <c r="I220" s="391"/>
    </row>
    <row r="221" spans="1:9">
      <c r="D221" s="353"/>
      <c r="E221" s="353"/>
      <c r="F221" s="353"/>
      <c r="I221" s="391"/>
    </row>
    <row r="222" spans="1:9">
      <c r="A222" s="1764" t="s">
        <v>369</v>
      </c>
      <c r="B222" s="1764"/>
      <c r="C222" s="1764"/>
      <c r="D222" s="1764"/>
      <c r="E222" s="1764"/>
      <c r="F222" s="1764"/>
      <c r="G222" s="1764"/>
      <c r="H222" s="914"/>
      <c r="I222" s="1036"/>
    </row>
    <row r="223" spans="1:9" ht="12" customHeight="1">
      <c r="D223" s="348"/>
      <c r="E223" s="348"/>
      <c r="F223" s="348"/>
      <c r="I223" s="391"/>
    </row>
    <row r="224" spans="1:9">
      <c r="C224" s="387"/>
      <c r="D224" s="1766" t="s">
        <v>370</v>
      </c>
      <c r="E224" s="1766"/>
      <c r="F224" s="1766"/>
      <c r="I224" s="391"/>
    </row>
    <row r="225" spans="1:9">
      <c r="A225" s="383"/>
      <c r="B225" s="383"/>
      <c r="C225" s="383"/>
      <c r="D225" s="1765" t="s">
        <v>371</v>
      </c>
      <c r="E225" s="1765"/>
      <c r="F225" s="1765"/>
      <c r="I225" s="391"/>
    </row>
    <row r="226" spans="1:9" ht="12" customHeight="1">
      <c r="A226" s="391"/>
      <c r="B226" s="391"/>
      <c r="C226" s="391"/>
      <c r="I226" s="391"/>
    </row>
    <row r="227" spans="1:9" ht="13.7" customHeight="1">
      <c r="A227" s="391"/>
      <c r="C227" s="391"/>
      <c r="D227" s="1766" t="s">
        <v>372</v>
      </c>
      <c r="E227" s="1766"/>
      <c r="F227" s="1766"/>
      <c r="I227" s="391"/>
    </row>
    <row r="228" spans="1:9" ht="14.25">
      <c r="A228" s="385"/>
      <c r="B228" s="386" t="s">
        <v>311</v>
      </c>
      <c r="D228" s="1763" t="s">
        <v>373</v>
      </c>
      <c r="E228" s="1763"/>
      <c r="F228" s="1763"/>
      <c r="I228" s="391"/>
    </row>
    <row r="229" spans="1:9" ht="14.25" customHeight="1">
      <c r="A229" s="385"/>
      <c r="B229" s="385"/>
      <c r="D229" s="1763"/>
      <c r="E229" s="1763"/>
      <c r="F229" s="1763"/>
      <c r="I229" s="391"/>
    </row>
    <row r="230" spans="1:9" ht="14.25" customHeight="1">
      <c r="A230" s="385"/>
      <c r="B230" s="385"/>
      <c r="D230" s="1763"/>
      <c r="E230" s="1763"/>
      <c r="F230" s="1763"/>
      <c r="I230" s="391"/>
    </row>
    <row r="231" spans="1:9" ht="14.25">
      <c r="A231" s="385"/>
      <c r="B231" s="385"/>
      <c r="D231" s="1763"/>
      <c r="E231" s="1763"/>
      <c r="F231" s="1763"/>
      <c r="I231" s="391"/>
    </row>
    <row r="232" spans="1:9" ht="14.25">
      <c r="A232" s="385"/>
      <c r="B232" s="385"/>
      <c r="D232" s="347"/>
      <c r="E232" s="347"/>
      <c r="F232" s="347"/>
      <c r="I232" s="391"/>
    </row>
    <row r="233" spans="1:9" ht="14.25">
      <c r="A233" s="385"/>
      <c r="B233" s="386" t="s">
        <v>311</v>
      </c>
      <c r="D233" s="1763" t="s">
        <v>374</v>
      </c>
      <c r="E233" s="1763"/>
      <c r="F233" s="1763"/>
      <c r="I233" s="391"/>
    </row>
    <row r="234" spans="1:9" ht="14.25">
      <c r="A234" s="385"/>
      <c r="B234" s="385"/>
      <c r="D234" s="1763"/>
      <c r="E234" s="1763"/>
      <c r="F234" s="1763"/>
      <c r="I234" s="391"/>
    </row>
    <row r="235" spans="1:9" ht="14.25">
      <c r="A235" s="385"/>
      <c r="B235" s="385"/>
      <c r="D235" s="1763"/>
      <c r="E235" s="1763"/>
      <c r="F235" s="1763"/>
      <c r="I235" s="391"/>
    </row>
    <row r="236" spans="1:9" ht="14.25">
      <c r="A236" s="385"/>
      <c r="B236" s="385"/>
      <c r="D236" s="1763"/>
      <c r="E236" s="1763"/>
      <c r="F236" s="1763"/>
      <c r="I236" s="391"/>
    </row>
    <row r="237" spans="1:9" ht="14.25" customHeight="1">
      <c r="A237" s="385"/>
      <c r="B237" s="385"/>
      <c r="D237" s="1763"/>
      <c r="E237" s="1763"/>
      <c r="F237" s="1763"/>
      <c r="I237" s="391"/>
    </row>
    <row r="238" spans="1:9" ht="14.25" customHeight="1">
      <c r="A238" s="385"/>
      <c r="B238" s="385"/>
      <c r="D238" s="347"/>
      <c r="E238" s="347"/>
      <c r="F238" s="347"/>
      <c r="I238" s="391"/>
    </row>
    <row r="239" spans="1:9" ht="14.25">
      <c r="A239" s="385"/>
      <c r="B239" s="385"/>
      <c r="D239" s="1763" t="s">
        <v>375</v>
      </c>
      <c r="E239" s="1763"/>
      <c r="F239" s="1763"/>
      <c r="I239" s="391"/>
    </row>
    <row r="240" spans="1:9" ht="14.25">
      <c r="A240" s="385"/>
      <c r="B240" s="385"/>
      <c r="D240" s="1763"/>
      <c r="E240" s="1763"/>
      <c r="F240" s="1763"/>
      <c r="I240" s="391"/>
    </row>
    <row r="241" spans="1:9" ht="14.25">
      <c r="A241" s="385"/>
      <c r="B241" s="385"/>
      <c r="D241" s="1763"/>
      <c r="E241" s="1763"/>
      <c r="F241" s="1763"/>
      <c r="I241" s="391"/>
    </row>
    <row r="242" spans="1:9" ht="14.25">
      <c r="A242" s="385"/>
      <c r="B242" s="385"/>
      <c r="D242" s="1763"/>
      <c r="E242" s="1763"/>
      <c r="F242" s="1763"/>
      <c r="I242" s="391"/>
    </row>
    <row r="243" spans="1:9" ht="14.25">
      <c r="A243" s="385"/>
      <c r="B243" s="385"/>
      <c r="D243" s="1763"/>
      <c r="E243" s="1763"/>
      <c r="F243" s="1763"/>
      <c r="I243" s="391"/>
    </row>
    <row r="244" spans="1:9" ht="14.25">
      <c r="A244" s="385"/>
      <c r="B244" s="385"/>
      <c r="D244" s="348"/>
      <c r="E244" s="348"/>
      <c r="F244" s="348"/>
      <c r="I244" s="391"/>
    </row>
    <row r="245" spans="1:9" ht="14.25">
      <c r="A245" s="385"/>
      <c r="B245" s="386" t="s">
        <v>316</v>
      </c>
      <c r="D245" s="1763" t="s">
        <v>376</v>
      </c>
      <c r="E245" s="1763"/>
      <c r="F245" s="1763"/>
      <c r="I245" s="391"/>
    </row>
    <row r="246" spans="1:9" ht="14.25">
      <c r="A246" s="385"/>
      <c r="B246" s="385"/>
      <c r="D246" s="1763"/>
      <c r="E246" s="1763"/>
      <c r="F246" s="1763"/>
      <c r="I246" s="391"/>
    </row>
    <row r="247" spans="1:9" ht="14.25">
      <c r="A247" s="385"/>
      <c r="B247" s="385"/>
      <c r="D247" s="1763"/>
      <c r="E247" s="1763"/>
      <c r="F247" s="1763"/>
      <c r="I247" s="391"/>
    </row>
    <row r="248" spans="1:9" ht="14.25">
      <c r="A248" s="385"/>
      <c r="B248" s="385"/>
      <c r="E248" s="922" t="s">
        <v>377</v>
      </c>
      <c r="I248" s="391"/>
    </row>
    <row r="249" spans="1:9" ht="14.25">
      <c r="A249" s="385"/>
      <c r="B249" s="385"/>
      <c r="D249" s="348"/>
      <c r="E249" s="348"/>
      <c r="F249" s="348"/>
      <c r="I249" s="391"/>
    </row>
    <row r="250" spans="1:9" ht="14.45" customHeight="1">
      <c r="A250" s="385"/>
      <c r="B250" s="386" t="s">
        <v>316</v>
      </c>
      <c r="D250" s="1763" t="s">
        <v>378</v>
      </c>
      <c r="E250" s="1763"/>
      <c r="F250" s="1763"/>
      <c r="I250" s="391"/>
    </row>
    <row r="251" spans="1:9" ht="14.25">
      <c r="A251" s="385"/>
      <c r="B251" s="385"/>
      <c r="D251" s="1763"/>
      <c r="E251" s="1763"/>
      <c r="F251" s="1763"/>
      <c r="I251" s="391"/>
    </row>
    <row r="252" spans="1:9" ht="14.25">
      <c r="A252" s="385"/>
      <c r="B252" s="385"/>
      <c r="D252" s="1763"/>
      <c r="E252" s="1763"/>
      <c r="F252" s="1763"/>
      <c r="I252" s="391"/>
    </row>
    <row r="253" spans="1:9" ht="14.25">
      <c r="A253" s="385"/>
      <c r="B253" s="385"/>
      <c r="D253" s="1763"/>
      <c r="E253" s="1763"/>
      <c r="F253" s="1763"/>
      <c r="I253" s="391"/>
    </row>
    <row r="254" spans="1:9" ht="14.25">
      <c r="A254" s="385"/>
      <c r="B254" s="385"/>
      <c r="D254" s="1763"/>
      <c r="E254" s="1763"/>
      <c r="F254" s="1763"/>
      <c r="I254" s="391"/>
    </row>
    <row r="255" spans="1:9" ht="14.25">
      <c r="A255" s="385"/>
      <c r="B255" s="385"/>
      <c r="D255" s="347"/>
      <c r="E255" s="347"/>
      <c r="F255" s="347"/>
      <c r="I255" s="391"/>
    </row>
    <row r="256" spans="1:9" ht="14.25">
      <c r="A256" s="385"/>
      <c r="B256" s="386" t="s">
        <v>311</v>
      </c>
      <c r="D256" s="295" t="s">
        <v>379</v>
      </c>
      <c r="E256" s="347"/>
      <c r="F256" s="347"/>
      <c r="I256" s="391"/>
    </row>
    <row r="257" spans="1:9" ht="14.25">
      <c r="A257" s="385"/>
      <c r="B257" s="385"/>
      <c r="E257" s="922" t="s">
        <v>380</v>
      </c>
      <c r="I257" s="391"/>
    </row>
    <row r="258" spans="1:9">
      <c r="D258" s="348"/>
      <c r="E258" s="348"/>
      <c r="F258" s="348"/>
      <c r="I258" s="391"/>
    </row>
    <row r="259" spans="1:9" ht="14.25">
      <c r="A259" s="385"/>
      <c r="B259" s="386" t="s">
        <v>311</v>
      </c>
      <c r="D259" s="1763" t="s">
        <v>381</v>
      </c>
      <c r="E259" s="1763"/>
      <c r="F259" s="1763"/>
      <c r="I259" s="391"/>
    </row>
    <row r="260" spans="1:9" ht="14.25">
      <c r="A260" s="385"/>
      <c r="B260" s="385"/>
      <c r="D260" s="1763"/>
      <c r="E260" s="1763"/>
      <c r="F260" s="1763"/>
      <c r="I260" s="391"/>
    </row>
    <row r="261" spans="1:9">
      <c r="D261" s="392"/>
      <c r="I261" s="391"/>
    </row>
    <row r="262" spans="1:9">
      <c r="A262" s="1764" t="s">
        <v>382</v>
      </c>
      <c r="B262" s="1764"/>
      <c r="C262" s="1764"/>
      <c r="D262" s="1764"/>
      <c r="E262" s="1764"/>
      <c r="F262" s="1764"/>
      <c r="G262" s="1764"/>
      <c r="H262" s="914"/>
      <c r="I262" s="1036"/>
    </row>
    <row r="263" spans="1:9">
      <c r="D263" s="392"/>
      <c r="I263" s="391"/>
    </row>
    <row r="264" spans="1:9">
      <c r="C264" s="387"/>
      <c r="D264" s="1766" t="s">
        <v>383</v>
      </c>
      <c r="E264" s="1766"/>
      <c r="F264" s="1766"/>
      <c r="I264" s="391"/>
    </row>
    <row r="265" spans="1:9">
      <c r="A265" s="383"/>
      <c r="B265" s="383"/>
      <c r="C265" s="383"/>
      <c r="D265" s="348"/>
      <c r="E265" s="348"/>
      <c r="F265" s="348"/>
      <c r="I265" s="391"/>
    </row>
    <row r="266" spans="1:9">
      <c r="A266" s="384"/>
      <c r="B266" s="384"/>
      <c r="C266" s="384"/>
      <c r="D266" s="1766" t="s">
        <v>384</v>
      </c>
      <c r="E266" s="1766"/>
      <c r="F266" s="1766"/>
      <c r="I266" s="391"/>
    </row>
    <row r="267" spans="1:9" ht="14.45" customHeight="1">
      <c r="A267" s="385"/>
      <c r="B267" s="386" t="s">
        <v>311</v>
      </c>
      <c r="D267" s="1763" t="s">
        <v>385</v>
      </c>
      <c r="E267" s="1763"/>
      <c r="F267" s="1763"/>
      <c r="I267" s="391"/>
    </row>
    <row r="268" spans="1:9">
      <c r="D268" s="1763"/>
      <c r="E268" s="1763"/>
      <c r="F268" s="1763"/>
      <c r="I268" s="391"/>
    </row>
    <row r="269" spans="1:9">
      <c r="E269" s="922" t="s">
        <v>386</v>
      </c>
      <c r="I269" s="391"/>
    </row>
    <row r="270" spans="1:9">
      <c r="D270" s="348"/>
      <c r="E270" s="348"/>
      <c r="F270" s="348"/>
      <c r="I270" s="391"/>
    </row>
    <row r="271" spans="1:9" ht="14.45" customHeight="1">
      <c r="A271" s="385"/>
      <c r="B271" s="386" t="s">
        <v>316</v>
      </c>
      <c r="D271" s="1763" t="s">
        <v>387</v>
      </c>
      <c r="E271" s="1763"/>
      <c r="F271" s="1763"/>
      <c r="I271" s="391"/>
    </row>
    <row r="272" spans="1:9">
      <c r="D272" s="1763"/>
      <c r="E272" s="1763"/>
      <c r="F272" s="1763"/>
      <c r="I272" s="391"/>
    </row>
    <row r="273" spans="1:9">
      <c r="D273" s="1763"/>
      <c r="E273" s="1763"/>
      <c r="F273" s="1763"/>
      <c r="I273" s="391"/>
    </row>
    <row r="274" spans="1:9">
      <c r="D274" s="1763"/>
      <c r="E274" s="1763"/>
      <c r="F274" s="1763"/>
      <c r="I274" s="391"/>
    </row>
    <row r="275" spans="1:9">
      <c r="D275" s="1763"/>
      <c r="E275" s="1763"/>
      <c r="F275" s="1763"/>
      <c r="I275" s="391"/>
    </row>
    <row r="276" spans="1:9">
      <c r="D276" s="1763"/>
      <c r="E276" s="1763"/>
      <c r="F276" s="1763"/>
      <c r="I276" s="391"/>
    </row>
    <row r="277" spans="1:9">
      <c r="D277" s="348"/>
      <c r="E277" s="348"/>
      <c r="F277" s="348"/>
      <c r="I277" s="391"/>
    </row>
    <row r="278" spans="1:9" ht="14.25">
      <c r="A278" s="385"/>
      <c r="B278" s="386" t="s">
        <v>316</v>
      </c>
      <c r="D278" s="1763" t="s">
        <v>388</v>
      </c>
      <c r="E278" s="1763"/>
      <c r="F278" s="1763"/>
      <c r="I278" s="391"/>
    </row>
    <row r="279" spans="1:9">
      <c r="D279" s="1763"/>
      <c r="E279" s="1763"/>
      <c r="F279" s="1763"/>
      <c r="I279" s="391"/>
    </row>
    <row r="280" spans="1:9">
      <c r="D280" s="1763"/>
      <c r="E280" s="1763"/>
      <c r="F280" s="1763"/>
      <c r="I280" s="391"/>
    </row>
    <row r="281" spans="1:9">
      <c r="D281" s="393"/>
      <c r="E281" s="348"/>
      <c r="F281" s="348"/>
      <c r="I281" s="391"/>
    </row>
    <row r="282" spans="1:9">
      <c r="A282" s="1764" t="s">
        <v>389</v>
      </c>
      <c r="B282" s="1764"/>
      <c r="C282" s="1764"/>
      <c r="D282" s="1764"/>
      <c r="E282" s="1764"/>
      <c r="F282" s="1764"/>
      <c r="G282" s="1764"/>
      <c r="H282" s="914"/>
      <c r="I282" s="1036"/>
    </row>
    <row r="283" spans="1:9">
      <c r="D283" s="393"/>
      <c r="E283" s="348"/>
      <c r="F283" s="348"/>
      <c r="I283" s="391"/>
    </row>
    <row r="284" spans="1:9">
      <c r="C284" s="383"/>
      <c r="D284" s="1783" t="s">
        <v>390</v>
      </c>
      <c r="E284" s="1783"/>
      <c r="F284" s="1783"/>
      <c r="I284" s="391"/>
    </row>
    <row r="285" spans="1:9">
      <c r="C285" s="383"/>
      <c r="D285" s="1783"/>
      <c r="E285" s="1783"/>
      <c r="F285" s="1783"/>
      <c r="I285" s="391"/>
    </row>
    <row r="286" spans="1:9">
      <c r="A286" s="384"/>
      <c r="B286" s="384"/>
      <c r="C286" s="384"/>
      <c r="D286" s="307"/>
      <c r="I286" s="391"/>
    </row>
    <row r="287" spans="1:9">
      <c r="C287" s="384"/>
      <c r="D287" s="1766" t="s">
        <v>391</v>
      </c>
      <c r="E287" s="1766"/>
      <c r="F287" s="1766"/>
      <c r="I287" s="391"/>
    </row>
    <row r="288" spans="1:9" ht="15.75" customHeight="1">
      <c r="A288" s="385"/>
      <c r="B288" s="385"/>
      <c r="D288" s="1792" t="s">
        <v>392</v>
      </c>
      <c r="E288" s="1792"/>
      <c r="F288" s="1792"/>
      <c r="I288" s="391"/>
    </row>
    <row r="289" spans="1:9">
      <c r="E289" s="348"/>
      <c r="F289" s="348"/>
      <c r="I289" s="391"/>
    </row>
    <row r="290" spans="1:9" ht="14.25">
      <c r="A290" s="385"/>
      <c r="B290" s="386" t="s">
        <v>316</v>
      </c>
      <c r="D290" s="1763" t="s">
        <v>393</v>
      </c>
      <c r="E290" s="1763"/>
      <c r="F290" s="1763"/>
      <c r="I290" s="391"/>
    </row>
    <row r="291" spans="1:9" ht="14.25">
      <c r="A291" s="385"/>
      <c r="B291" s="385"/>
      <c r="D291" s="1763"/>
      <c r="E291" s="1763"/>
      <c r="F291" s="1763"/>
      <c r="I291" s="391"/>
    </row>
    <row r="292" spans="1:9">
      <c r="D292" s="348"/>
      <c r="E292" s="348"/>
      <c r="F292" s="348"/>
      <c r="I292" s="391"/>
    </row>
    <row r="293" spans="1:9" ht="14.25">
      <c r="A293" s="385"/>
      <c r="B293" s="386" t="s">
        <v>316</v>
      </c>
      <c r="D293" s="1763" t="s">
        <v>394</v>
      </c>
      <c r="E293" s="1763"/>
      <c r="F293" s="1763"/>
      <c r="I293" s="391"/>
    </row>
    <row r="294" spans="1:9" ht="14.25">
      <c r="A294" s="385"/>
      <c r="B294" s="385"/>
      <c r="D294" s="1763"/>
      <c r="E294" s="1763"/>
      <c r="F294" s="1763"/>
      <c r="I294" s="391"/>
    </row>
    <row r="295" spans="1:9" ht="14.25">
      <c r="A295" s="385"/>
      <c r="B295" s="385"/>
      <c r="D295" s="1763"/>
      <c r="E295" s="1763"/>
      <c r="F295" s="1763"/>
      <c r="I295" s="391"/>
    </row>
    <row r="296" spans="1:9">
      <c r="D296" s="348"/>
      <c r="E296" s="348"/>
      <c r="F296" s="348"/>
      <c r="I296" s="391"/>
    </row>
    <row r="297" spans="1:9" ht="14.25">
      <c r="A297" s="385"/>
      <c r="B297" s="386" t="s">
        <v>316</v>
      </c>
      <c r="D297" s="1763" t="s">
        <v>395</v>
      </c>
      <c r="E297" s="1763"/>
      <c r="F297" s="1763"/>
      <c r="I297" s="391"/>
    </row>
    <row r="298" spans="1:9" ht="14.25">
      <c r="A298" s="385"/>
      <c r="B298" s="385"/>
      <c r="D298" s="1763"/>
      <c r="E298" s="1763"/>
      <c r="F298" s="1763"/>
      <c r="I298" s="391"/>
    </row>
    <row r="299" spans="1:9">
      <c r="A299" s="391"/>
      <c r="B299" s="391"/>
      <c r="E299" s="348"/>
      <c r="F299" s="348"/>
      <c r="I299" s="391"/>
    </row>
    <row r="300" spans="1:9">
      <c r="A300" s="1764" t="s">
        <v>396</v>
      </c>
      <c r="B300" s="1764"/>
      <c r="C300" s="1764"/>
      <c r="D300" s="1764"/>
      <c r="E300" s="1764"/>
      <c r="F300" s="1764"/>
      <c r="G300" s="1764"/>
      <c r="H300" s="914"/>
      <c r="I300" s="1036"/>
    </row>
    <row r="301" spans="1:9">
      <c r="A301" s="391"/>
      <c r="B301" s="391"/>
      <c r="D301" s="348"/>
      <c r="E301" s="348"/>
      <c r="F301" s="348"/>
      <c r="I301" s="391"/>
    </row>
    <row r="302" spans="1:9">
      <c r="C302" s="391"/>
      <c r="D302" s="1766" t="s">
        <v>397</v>
      </c>
      <c r="E302" s="1766"/>
      <c r="F302" s="1766"/>
      <c r="I302" s="391"/>
    </row>
    <row r="303" spans="1:9">
      <c r="C303" s="391"/>
      <c r="D303" s="1765" t="s">
        <v>398</v>
      </c>
      <c r="E303" s="1765"/>
      <c r="F303" s="1765"/>
      <c r="I303" s="391"/>
    </row>
    <row r="304" spans="1:9">
      <c r="C304" s="391"/>
      <c r="D304" s="394"/>
      <c r="I304" s="391"/>
    </row>
    <row r="305" spans="1:9">
      <c r="B305" s="386" t="s">
        <v>316</v>
      </c>
      <c r="D305" s="1765" t="s">
        <v>399</v>
      </c>
      <c r="E305" s="1765"/>
      <c r="F305" s="1765"/>
      <c r="I305" s="391"/>
    </row>
    <row r="306" spans="1:9" ht="14.25">
      <c r="A306" s="385"/>
      <c r="B306" s="385"/>
      <c r="D306" s="395"/>
      <c r="E306" s="396"/>
      <c r="F306" s="396"/>
      <c r="I306" s="391"/>
    </row>
    <row r="307" spans="1:9" ht="13.7" customHeight="1">
      <c r="B307" s="386" t="s">
        <v>316</v>
      </c>
      <c r="D307" s="1776" t="s">
        <v>400</v>
      </c>
      <c r="E307" s="1776"/>
      <c r="F307" s="1776"/>
      <c r="I307" s="391"/>
    </row>
    <row r="308" spans="1:9" ht="14.25">
      <c r="A308" s="385"/>
      <c r="B308" s="385"/>
      <c r="D308" s="1776"/>
      <c r="E308" s="1776"/>
      <c r="F308" s="1776"/>
      <c r="I308" s="391"/>
    </row>
    <row r="309" spans="1:9" ht="14.25">
      <c r="A309" s="385"/>
      <c r="B309" s="385"/>
      <c r="D309" s="1776"/>
      <c r="E309" s="1776"/>
      <c r="F309" s="1776"/>
      <c r="I309" s="391"/>
    </row>
    <row r="310" spans="1:9" ht="14.25">
      <c r="A310" s="385"/>
      <c r="B310" s="385"/>
      <c r="D310" s="1776"/>
      <c r="E310" s="1776"/>
      <c r="F310" s="1776"/>
      <c r="I310" s="391"/>
    </row>
    <row r="311" spans="1:9" ht="14.25">
      <c r="A311" s="385"/>
      <c r="B311" s="385"/>
      <c r="D311" s="1776"/>
      <c r="E311" s="1776"/>
      <c r="F311" s="1776"/>
      <c r="I311" s="391"/>
    </row>
    <row r="312" spans="1:9" ht="14.25">
      <c r="A312" s="385"/>
      <c r="B312" s="385"/>
      <c r="D312" s="395"/>
      <c r="E312" s="396"/>
      <c r="F312" s="396"/>
      <c r="I312" s="391"/>
    </row>
    <row r="313" spans="1:9" ht="13.7" customHeight="1">
      <c r="B313" s="386" t="s">
        <v>316</v>
      </c>
      <c r="D313" s="1776" t="s">
        <v>401</v>
      </c>
      <c r="E313" s="1776"/>
      <c r="F313" s="1776"/>
      <c r="I313" s="391"/>
    </row>
    <row r="314" spans="1:9">
      <c r="D314" s="1776"/>
      <c r="E314" s="1776"/>
      <c r="F314" s="1776"/>
      <c r="I314" s="391"/>
    </row>
    <row r="315" spans="1:9" ht="14.25">
      <c r="A315" s="385"/>
      <c r="B315" s="385"/>
      <c r="D315" s="395"/>
      <c r="E315" s="396"/>
      <c r="F315" s="396"/>
      <c r="I315" s="391"/>
    </row>
    <row r="316" spans="1:9">
      <c r="B316" s="386" t="s">
        <v>316</v>
      </c>
      <c r="D316" s="1765" t="s">
        <v>402</v>
      </c>
      <c r="E316" s="1765"/>
      <c r="F316" s="1765"/>
      <c r="I316" s="391"/>
    </row>
    <row r="317" spans="1:9">
      <c r="E317" s="348"/>
      <c r="F317" s="348"/>
      <c r="I317" s="391"/>
    </row>
    <row r="318" spans="1:9" ht="14.25">
      <c r="A318" s="385"/>
      <c r="B318" s="386" t="s">
        <v>316</v>
      </c>
      <c r="D318" s="1763" t="s">
        <v>403</v>
      </c>
      <c r="E318" s="1763"/>
      <c r="F318" s="1763"/>
      <c r="I318" s="391"/>
    </row>
    <row r="319" spans="1:9" ht="14.25">
      <c r="A319" s="385"/>
      <c r="B319" s="385"/>
      <c r="D319" s="1763"/>
      <c r="E319" s="1763"/>
      <c r="F319" s="1763"/>
      <c r="I319" s="391"/>
    </row>
    <row r="320" spans="1:9" ht="14.25">
      <c r="A320" s="385"/>
      <c r="B320" s="385"/>
      <c r="D320" s="1763"/>
      <c r="E320" s="1763"/>
      <c r="F320" s="1763"/>
      <c r="I320" s="391"/>
    </row>
    <row r="321" spans="1:9" ht="14.25">
      <c r="A321" s="385"/>
      <c r="B321" s="385"/>
      <c r="D321" s="1763"/>
      <c r="E321" s="1763"/>
      <c r="F321" s="1763"/>
      <c r="I321" s="391"/>
    </row>
    <row r="322" spans="1:9" ht="14.25">
      <c r="A322" s="385"/>
      <c r="B322" s="385"/>
      <c r="D322" s="1763"/>
      <c r="E322" s="1763"/>
      <c r="F322" s="1763"/>
      <c r="I322" s="391"/>
    </row>
    <row r="323" spans="1:9" ht="14.25">
      <c r="A323" s="385"/>
      <c r="B323" s="385"/>
      <c r="D323" s="1763"/>
      <c r="E323" s="1763"/>
      <c r="F323" s="1763"/>
      <c r="I323" s="391"/>
    </row>
    <row r="324" spans="1:9" ht="14.25">
      <c r="A324" s="385"/>
      <c r="B324" s="385"/>
      <c r="D324" s="1763"/>
      <c r="E324" s="1763"/>
      <c r="F324" s="1763"/>
      <c r="I324" s="391"/>
    </row>
    <row r="325" spans="1:9" ht="14.25">
      <c r="A325" s="385"/>
      <c r="B325" s="385"/>
      <c r="D325" s="1763"/>
      <c r="E325" s="1763"/>
      <c r="F325" s="1763"/>
      <c r="I325" s="391"/>
    </row>
    <row r="326" spans="1:9" ht="14.25">
      <c r="A326" s="385"/>
      <c r="B326" s="385"/>
      <c r="D326" s="1763"/>
      <c r="E326" s="1763"/>
      <c r="F326" s="1763"/>
      <c r="I326" s="391"/>
    </row>
    <row r="327" spans="1:9" ht="14.25">
      <c r="A327" s="385"/>
      <c r="B327" s="385"/>
      <c r="D327" s="1763"/>
      <c r="E327" s="1763"/>
      <c r="F327" s="1763"/>
      <c r="I327" s="391"/>
    </row>
    <row r="328" spans="1:9" ht="14.25">
      <c r="A328" s="385"/>
      <c r="B328" s="385"/>
      <c r="D328" s="1763"/>
      <c r="E328" s="1763"/>
      <c r="F328" s="1763"/>
      <c r="I328" s="391"/>
    </row>
    <row r="329" spans="1:9" ht="14.25">
      <c r="A329" s="385"/>
      <c r="B329" s="385"/>
      <c r="D329" s="1763"/>
      <c r="E329" s="1763"/>
      <c r="F329" s="1763"/>
      <c r="I329" s="391"/>
    </row>
    <row r="330" spans="1:9" ht="14.25">
      <c r="A330" s="385"/>
      <c r="B330" s="385"/>
      <c r="D330" s="1763"/>
      <c r="E330" s="1763"/>
      <c r="F330" s="1763"/>
      <c r="I330" s="391"/>
    </row>
    <row r="331" spans="1:9" ht="14.25">
      <c r="A331" s="385"/>
      <c r="B331" s="385"/>
      <c r="D331" s="1763"/>
      <c r="E331" s="1763"/>
      <c r="F331" s="1763"/>
      <c r="I331" s="391"/>
    </row>
    <row r="332" spans="1:9" ht="14.25">
      <c r="A332" s="385"/>
      <c r="B332" s="385"/>
      <c r="D332" s="1763"/>
      <c r="E332" s="1763"/>
      <c r="F332" s="1763"/>
      <c r="I332" s="391"/>
    </row>
    <row r="333" spans="1:9">
      <c r="D333" s="348"/>
      <c r="E333" s="348"/>
      <c r="F333" s="348"/>
      <c r="I333" s="391"/>
    </row>
    <row r="334" spans="1:9" ht="14.25">
      <c r="A334" s="385"/>
      <c r="B334" s="386" t="s">
        <v>316</v>
      </c>
      <c r="D334" s="1763" t="s">
        <v>404</v>
      </c>
      <c r="E334" s="1763"/>
      <c r="F334" s="1763"/>
      <c r="I334" s="391"/>
    </row>
    <row r="335" spans="1:9">
      <c r="D335" s="1763"/>
      <c r="E335" s="1763"/>
      <c r="F335" s="1763"/>
      <c r="I335" s="391"/>
    </row>
    <row r="336" spans="1:9">
      <c r="D336" s="1763"/>
      <c r="E336" s="1763"/>
      <c r="F336" s="1763"/>
      <c r="I336" s="391"/>
    </row>
    <row r="337" spans="1:9">
      <c r="D337" s="1763"/>
      <c r="E337" s="1763"/>
      <c r="F337" s="1763"/>
      <c r="I337" s="391"/>
    </row>
    <row r="338" spans="1:9">
      <c r="D338" s="1763"/>
      <c r="E338" s="1763"/>
      <c r="F338" s="1763"/>
      <c r="I338" s="391"/>
    </row>
    <row r="339" spans="1:9">
      <c r="D339" s="1763"/>
      <c r="E339" s="1763"/>
      <c r="F339" s="1763"/>
      <c r="I339" s="391"/>
    </row>
    <row r="340" spans="1:9">
      <c r="D340" s="1763"/>
      <c r="E340" s="1763"/>
      <c r="F340" s="1763"/>
      <c r="I340" s="391"/>
    </row>
    <row r="341" spans="1:9">
      <c r="D341" s="1763"/>
      <c r="E341" s="1763"/>
      <c r="F341" s="1763"/>
      <c r="I341" s="391"/>
    </row>
    <row r="342" spans="1:9">
      <c r="D342" s="1763"/>
      <c r="E342" s="1763"/>
      <c r="F342" s="1763"/>
      <c r="I342" s="391"/>
    </row>
    <row r="343" spans="1:9">
      <c r="D343" s="348"/>
      <c r="E343" s="348"/>
      <c r="F343" s="348"/>
      <c r="I343" s="391"/>
    </row>
    <row r="344" spans="1:9" ht="14.25" customHeight="1">
      <c r="A344" s="385"/>
      <c r="B344" s="386" t="s">
        <v>316</v>
      </c>
      <c r="D344" s="1763" t="s">
        <v>405</v>
      </c>
      <c r="E344" s="1763"/>
      <c r="F344" s="1763"/>
      <c r="I344" s="391"/>
    </row>
    <row r="345" spans="1:9">
      <c r="D345" s="1763"/>
      <c r="E345" s="1763"/>
      <c r="F345" s="1763"/>
      <c r="I345" s="391"/>
    </row>
    <row r="346" spans="1:9">
      <c r="D346" s="1763"/>
      <c r="E346" s="1763"/>
      <c r="F346" s="1763"/>
      <c r="I346" s="391"/>
    </row>
    <row r="347" spans="1:9">
      <c r="D347" s="1763"/>
      <c r="E347" s="1763"/>
      <c r="F347" s="1763"/>
      <c r="I347" s="391"/>
    </row>
    <row r="348" spans="1:9">
      <c r="D348" s="289" t="s">
        <v>356</v>
      </c>
      <c r="E348" s="288"/>
      <c r="F348" s="288"/>
      <c r="I348" s="391"/>
    </row>
    <row r="349" spans="1:9">
      <c r="D349" s="288"/>
      <c r="E349" s="71" t="s">
        <v>406</v>
      </c>
      <c r="G349" s="71"/>
      <c r="I349" s="391"/>
    </row>
    <row r="350" spans="1:9">
      <c r="D350" s="347"/>
      <c r="E350" s="347"/>
      <c r="F350" s="347"/>
      <c r="I350" s="391"/>
    </row>
    <row r="351" spans="1:9" ht="13.5" thickBot="1">
      <c r="A351" s="908"/>
      <c r="B351" s="908"/>
      <c r="C351" s="908"/>
      <c r="D351" s="1774" t="s">
        <v>407</v>
      </c>
      <c r="E351" s="1774"/>
      <c r="F351" s="1774"/>
      <c r="G351" s="913"/>
      <c r="H351" s="913"/>
      <c r="I351" s="1039"/>
    </row>
    <row r="352" spans="1:9" ht="13.5" thickTop="1">
      <c r="D352" s="1784" t="s">
        <v>408</v>
      </c>
      <c r="E352" s="1784"/>
      <c r="F352" s="1784"/>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765" t="s">
        <v>409</v>
      </c>
      <c r="E355" s="1765"/>
      <c r="F355" s="1765"/>
      <c r="I355" s="391"/>
    </row>
    <row r="356" spans="1:9" ht="12.75" customHeight="1">
      <c r="D356" s="923"/>
      <c r="E356" s="71" t="s">
        <v>410</v>
      </c>
      <c r="F356" s="923"/>
      <c r="I356" s="391"/>
    </row>
    <row r="357" spans="1:9">
      <c r="D357" s="1763" t="s">
        <v>411</v>
      </c>
      <c r="E357" s="1763"/>
      <c r="F357" s="1763"/>
      <c r="I357" s="391"/>
    </row>
    <row r="358" spans="1:9">
      <c r="D358" s="1763"/>
      <c r="E358" s="1763"/>
      <c r="F358" s="1763"/>
      <c r="I358" s="391"/>
    </row>
    <row r="359" spans="1:9">
      <c r="D359" s="1763"/>
      <c r="E359" s="1763"/>
      <c r="F359" s="1763"/>
      <c r="I359" s="391"/>
    </row>
    <row r="360" spans="1:9" ht="14.25">
      <c r="A360" s="385"/>
      <c r="B360" s="386" t="s">
        <v>316</v>
      </c>
      <c r="C360" s="377"/>
      <c r="D360" s="1773" t="s">
        <v>412</v>
      </c>
      <c r="E360" s="1773"/>
      <c r="F360" s="1773"/>
      <c r="I360" s="381"/>
    </row>
    <row r="361" spans="1:9">
      <c r="A361" s="377"/>
      <c r="B361" s="377"/>
      <c r="C361" s="377"/>
      <c r="D361" s="349"/>
      <c r="E361" s="349"/>
      <c r="F361" s="348"/>
      <c r="I361" s="391"/>
    </row>
    <row r="362" spans="1:9">
      <c r="A362" s="377"/>
      <c r="B362" s="386" t="s">
        <v>316</v>
      </c>
      <c r="C362" s="377"/>
      <c r="D362" s="1737" t="s">
        <v>413</v>
      </c>
      <c r="E362" s="1737"/>
      <c r="F362" s="1737"/>
      <c r="I362" s="391"/>
    </row>
    <row r="363" spans="1:9">
      <c r="A363" s="377"/>
      <c r="B363" s="377"/>
      <c r="C363" s="377"/>
      <c r="D363" s="1737"/>
      <c r="E363" s="1737"/>
      <c r="F363" s="1737"/>
      <c r="I363" s="391"/>
    </row>
    <row r="364" spans="1:9">
      <c r="A364" s="377"/>
      <c r="B364" s="377"/>
      <c r="C364" s="377"/>
      <c r="D364" s="1737"/>
      <c r="E364" s="1737"/>
      <c r="F364" s="1737"/>
      <c r="I364" s="391"/>
    </row>
    <row r="365" spans="1:9">
      <c r="A365" s="377"/>
      <c r="B365" s="377"/>
      <c r="C365" s="377"/>
      <c r="D365" s="1737"/>
      <c r="E365" s="1737"/>
      <c r="F365" s="1737"/>
      <c r="I365" s="391"/>
    </row>
    <row r="366" spans="1:9">
      <c r="A366" s="377"/>
      <c r="B366" s="377"/>
      <c r="C366" s="377"/>
      <c r="D366" s="1737"/>
      <c r="E366" s="1737"/>
      <c r="F366" s="1737"/>
      <c r="I366" s="391"/>
    </row>
    <row r="367" spans="1:9">
      <c r="A367" s="377"/>
      <c r="B367" s="377"/>
      <c r="C367" s="377"/>
      <c r="D367" s="1737"/>
      <c r="E367" s="1737"/>
      <c r="F367" s="1737"/>
      <c r="I367" s="391"/>
    </row>
    <row r="368" spans="1:9">
      <c r="A368" s="377"/>
      <c r="B368" s="377"/>
      <c r="C368" s="377"/>
      <c r="D368" s="1737"/>
      <c r="E368" s="1737"/>
      <c r="F368" s="1737"/>
      <c r="I368" s="391"/>
    </row>
    <row r="369" spans="1:9">
      <c r="A369" s="377"/>
      <c r="B369" s="377"/>
      <c r="C369" s="377"/>
      <c r="D369" s="1737"/>
      <c r="E369" s="1737"/>
      <c r="F369" s="1737"/>
      <c r="I369" s="391"/>
    </row>
    <row r="370" spans="1:9">
      <c r="A370" s="377"/>
      <c r="B370" s="377"/>
      <c r="C370" s="377"/>
      <c r="D370" s="1737"/>
      <c r="E370" s="1737"/>
      <c r="F370" s="1737"/>
      <c r="I370" s="391"/>
    </row>
    <row r="371" spans="1:9">
      <c r="A371" s="377"/>
      <c r="B371" s="377"/>
      <c r="C371" s="377"/>
      <c r="D371" s="1737"/>
      <c r="E371" s="1737"/>
      <c r="F371" s="1737"/>
      <c r="I371" s="391"/>
    </row>
    <row r="372" spans="1:9">
      <c r="A372" s="377"/>
      <c r="B372" s="377"/>
      <c r="C372" s="377"/>
      <c r="D372" s="1737"/>
      <c r="E372" s="1737"/>
      <c r="F372" s="1737"/>
      <c r="I372" s="391"/>
    </row>
    <row r="373" spans="1:9">
      <c r="A373" s="377"/>
      <c r="B373" s="377"/>
      <c r="C373" s="377"/>
      <c r="D373" s="1737"/>
      <c r="E373" s="1737"/>
      <c r="F373" s="1737"/>
      <c r="I373" s="391"/>
    </row>
    <row r="374" spans="1:9">
      <c r="A374" s="377"/>
      <c r="B374" s="377"/>
      <c r="C374" s="377"/>
      <c r="D374" s="353"/>
      <c r="E374" s="353"/>
      <c r="F374" s="353"/>
      <c r="I374" s="391"/>
    </row>
    <row r="375" spans="1:9" ht="12.4" customHeight="1">
      <c r="A375" s="377"/>
      <c r="B375" s="386" t="s">
        <v>316</v>
      </c>
      <c r="C375" s="377"/>
      <c r="D375" s="1745" t="s">
        <v>414</v>
      </c>
      <c r="E375" s="1745"/>
      <c r="F375" s="1745"/>
      <c r="I375" s="391"/>
    </row>
    <row r="376" spans="1:9">
      <c r="A376" s="377"/>
      <c r="B376" s="377"/>
      <c r="C376" s="377"/>
      <c r="D376" s="1745"/>
      <c r="E376" s="1745"/>
      <c r="F376" s="1745"/>
      <c r="I376" s="391"/>
    </row>
    <row r="377" spans="1:9">
      <c r="A377" s="377"/>
      <c r="B377" s="377"/>
      <c r="C377" s="377"/>
      <c r="D377" s="1745"/>
      <c r="E377" s="1745"/>
      <c r="F377" s="1745"/>
      <c r="I377" s="391"/>
    </row>
    <row r="378" spans="1:9">
      <c r="A378" s="377"/>
      <c r="B378" s="377"/>
      <c r="C378" s="377"/>
      <c r="D378" s="1745"/>
      <c r="E378" s="1745"/>
      <c r="F378" s="1745"/>
      <c r="I378" s="391"/>
    </row>
    <row r="379" spans="1:9">
      <c r="A379" s="377"/>
      <c r="B379" s="377"/>
      <c r="C379" s="377"/>
      <c r="D379" s="424"/>
      <c r="E379" s="424"/>
      <c r="F379" s="424"/>
      <c r="I379" s="391"/>
    </row>
    <row r="380" spans="1:9">
      <c r="A380" s="377"/>
      <c r="B380" s="386" t="s">
        <v>316</v>
      </c>
      <c r="C380" s="377"/>
      <c r="D380" s="305" t="s">
        <v>415</v>
      </c>
      <c r="E380" s="424"/>
      <c r="F380" s="424"/>
      <c r="I380" s="391"/>
    </row>
    <row r="381" spans="1:9">
      <c r="A381" s="377"/>
      <c r="B381" s="377"/>
      <c r="C381" s="377"/>
      <c r="D381" s="305" t="s">
        <v>416</v>
      </c>
      <c r="E381" s="424"/>
      <c r="F381" s="424"/>
      <c r="I381" s="391"/>
    </row>
    <row r="382" spans="1:9">
      <c r="A382" s="377"/>
      <c r="B382" s="377"/>
      <c r="C382" s="377"/>
      <c r="D382" s="305" t="s">
        <v>417</v>
      </c>
      <c r="E382" s="424"/>
      <c r="F382" s="424"/>
      <c r="I382" s="391"/>
    </row>
    <row r="383" spans="1:9">
      <c r="A383" s="377"/>
      <c r="B383" s="377"/>
      <c r="C383" s="377"/>
      <c r="D383" s="305" t="s">
        <v>418</v>
      </c>
      <c r="E383" s="424"/>
      <c r="F383" s="424"/>
      <c r="I383" s="391"/>
    </row>
    <row r="384" spans="1:9">
      <c r="A384" s="377"/>
      <c r="B384" s="377"/>
      <c r="C384" s="377"/>
      <c r="D384" s="305" t="s">
        <v>419</v>
      </c>
      <c r="E384" s="424"/>
      <c r="F384" s="424"/>
      <c r="I384" s="391"/>
    </row>
    <row r="385" spans="1:9">
      <c r="A385" s="377"/>
      <c r="B385" s="377"/>
      <c r="C385" s="377"/>
      <c r="D385" s="305" t="s">
        <v>420</v>
      </c>
      <c r="E385" s="424"/>
      <c r="F385" s="424"/>
      <c r="I385" s="391"/>
    </row>
    <row r="386" spans="1:9">
      <c r="A386" s="377"/>
      <c r="B386" s="377"/>
      <c r="C386" s="377"/>
      <c r="E386" s="349"/>
      <c r="F386" s="348"/>
      <c r="I386" s="391"/>
    </row>
    <row r="387" spans="1:9" ht="14.25">
      <c r="A387" s="385"/>
      <c r="B387" s="386" t="s">
        <v>316</v>
      </c>
      <c r="C387" s="377"/>
      <c r="D387" s="1737" t="s">
        <v>421</v>
      </c>
      <c r="E387" s="1737"/>
      <c r="F387" s="1737"/>
      <c r="I387" s="391"/>
    </row>
    <row r="388" spans="1:9">
      <c r="A388" s="377"/>
      <c r="B388" s="377"/>
      <c r="C388" s="377"/>
      <c r="D388" s="1737"/>
      <c r="E388" s="1737"/>
      <c r="F388" s="1737"/>
      <c r="I388" s="391"/>
    </row>
    <row r="389" spans="1:9">
      <c r="A389" s="377"/>
      <c r="B389" s="377"/>
      <c r="C389" s="377"/>
      <c r="D389" s="1737"/>
      <c r="E389" s="1737"/>
      <c r="F389" s="1737"/>
      <c r="I389" s="391"/>
    </row>
    <row r="390" spans="1:9">
      <c r="A390" s="377"/>
      <c r="B390" s="377"/>
      <c r="C390" s="377"/>
      <c r="D390" s="1737"/>
      <c r="E390" s="1737"/>
      <c r="F390" s="1737"/>
      <c r="I390" s="391"/>
    </row>
    <row r="391" spans="1:9">
      <c r="A391" s="377"/>
      <c r="B391" s="377"/>
      <c r="C391" s="377"/>
      <c r="D391" s="349"/>
      <c r="E391" s="349"/>
      <c r="F391" s="348"/>
      <c r="I391" s="391"/>
    </row>
    <row r="392" spans="1:9">
      <c r="A392" s="377"/>
      <c r="B392" s="377"/>
      <c r="C392" s="377"/>
      <c r="D392" s="1737" t="s">
        <v>422</v>
      </c>
      <c r="E392" s="1737"/>
      <c r="F392" s="1737"/>
      <c r="I392" s="391"/>
    </row>
    <row r="393" spans="1:9">
      <c r="A393" s="377"/>
      <c r="B393" s="377"/>
      <c r="C393" s="377"/>
      <c r="D393" s="1737"/>
      <c r="E393" s="1737"/>
      <c r="F393" s="1737"/>
      <c r="I393" s="391"/>
    </row>
    <row r="394" spans="1:9">
      <c r="A394" s="377"/>
      <c r="B394" s="377"/>
      <c r="C394" s="377"/>
      <c r="D394" s="1737"/>
      <c r="E394" s="1737"/>
      <c r="F394" s="1737"/>
      <c r="I394" s="391"/>
    </row>
    <row r="395" spans="1:9">
      <c r="A395" s="377"/>
      <c r="B395" s="377"/>
      <c r="C395" s="377"/>
      <c r="D395" s="1737"/>
      <c r="E395" s="1737"/>
      <c r="F395" s="1737"/>
      <c r="I395" s="391"/>
    </row>
    <row r="396" spans="1:9" ht="18" customHeight="1">
      <c r="A396" s="377"/>
      <c r="B396" s="377"/>
      <c r="C396" s="377"/>
      <c r="D396" s="1737"/>
      <c r="E396" s="1737"/>
      <c r="F396" s="1737"/>
      <c r="I396" s="391"/>
    </row>
    <row r="397" spans="1:9">
      <c r="A397" s="377"/>
      <c r="B397" s="377"/>
      <c r="C397" s="377"/>
      <c r="D397" s="1737"/>
      <c r="E397" s="1737"/>
      <c r="F397" s="1737"/>
      <c r="I397" s="391"/>
    </row>
    <row r="398" spans="1:9">
      <c r="A398" s="377"/>
      <c r="B398" s="377"/>
      <c r="C398" s="377"/>
      <c r="D398" s="1737"/>
      <c r="E398" s="1737"/>
      <c r="F398" s="1737"/>
      <c r="I398" s="391"/>
    </row>
    <row r="399" spans="1:9">
      <c r="A399" s="377"/>
      <c r="B399" s="377"/>
      <c r="C399" s="377"/>
      <c r="D399" s="1737"/>
      <c r="E399" s="1737"/>
      <c r="F399" s="1737"/>
      <c r="I399" s="391"/>
    </row>
    <row r="400" spans="1:9" ht="8.25" customHeight="1">
      <c r="A400" s="377"/>
      <c r="B400" s="377"/>
      <c r="C400" s="377"/>
      <c r="D400" s="1737"/>
      <c r="E400" s="1737"/>
      <c r="F400" s="1737"/>
      <c r="I400" s="391"/>
    </row>
    <row r="401" spans="1:9" ht="13.7" customHeight="1">
      <c r="A401" s="377"/>
      <c r="B401" s="377"/>
      <c r="C401" s="377"/>
      <c r="D401" s="1737" t="s">
        <v>423</v>
      </c>
      <c r="E401" s="1737"/>
      <c r="F401" s="1737"/>
      <c r="I401" s="391"/>
    </row>
    <row r="402" spans="1:9">
      <c r="A402" s="377"/>
      <c r="B402" s="377"/>
      <c r="C402" s="377"/>
      <c r="D402" s="1737"/>
      <c r="E402" s="1737"/>
      <c r="F402" s="1737"/>
      <c r="I402" s="391"/>
    </row>
    <row r="403" spans="1:9">
      <c r="A403" s="377"/>
      <c r="B403" s="377"/>
      <c r="C403" s="377"/>
      <c r="D403" s="1737"/>
      <c r="E403" s="1737"/>
      <c r="F403" s="1737"/>
      <c r="I403" s="391"/>
    </row>
    <row r="404" spans="1:9">
      <c r="A404" s="377"/>
      <c r="B404" s="377"/>
      <c r="C404" s="377"/>
      <c r="D404" s="1737"/>
      <c r="E404" s="1737"/>
      <c r="F404" s="1737"/>
      <c r="I404" s="391"/>
    </row>
    <row r="405" spans="1:9">
      <c r="A405" s="377"/>
      <c r="B405" s="377"/>
      <c r="C405" s="377"/>
      <c r="D405" s="1737"/>
      <c r="E405" s="1737"/>
      <c r="F405" s="1737"/>
      <c r="I405" s="391"/>
    </row>
    <row r="406" spans="1:9">
      <c r="A406" s="377"/>
      <c r="B406" s="377"/>
      <c r="C406" s="377"/>
      <c r="D406" s="1737"/>
      <c r="E406" s="1737"/>
      <c r="F406" s="1737"/>
      <c r="I406" s="391"/>
    </row>
    <row r="407" spans="1:9">
      <c r="A407" s="377"/>
      <c r="B407" s="377"/>
      <c r="C407" s="377"/>
      <c r="D407" s="1737"/>
      <c r="E407" s="1737"/>
      <c r="F407" s="1737"/>
      <c r="I407" s="391"/>
    </row>
    <row r="408" spans="1:9">
      <c r="A408" s="377"/>
      <c r="B408" s="377"/>
      <c r="C408" s="377"/>
      <c r="D408" s="1737"/>
      <c r="E408" s="1737"/>
      <c r="F408" s="1737"/>
      <c r="I408" s="391"/>
    </row>
    <row r="409" spans="1:9">
      <c r="A409" s="377"/>
      <c r="B409" s="377"/>
      <c r="C409" s="377"/>
      <c r="D409" s="1737"/>
      <c r="E409" s="1737"/>
      <c r="F409" s="1737"/>
      <c r="I409" s="391"/>
    </row>
    <row r="410" spans="1:9">
      <c r="A410" s="377"/>
      <c r="B410" s="377"/>
      <c r="C410" s="377"/>
      <c r="D410" s="1737"/>
      <c r="E410" s="1737"/>
      <c r="F410" s="1737"/>
      <c r="I410" s="391"/>
    </row>
    <row r="411" spans="1:9">
      <c r="A411" s="377"/>
      <c r="B411" s="377"/>
      <c r="C411" s="377"/>
      <c r="D411" s="1737"/>
      <c r="E411" s="1737"/>
      <c r="F411" s="1737"/>
      <c r="I411" s="391"/>
    </row>
    <row r="412" spans="1:9">
      <c r="A412" s="377"/>
      <c r="B412" s="377"/>
      <c r="C412" s="377"/>
      <c r="D412" s="1737"/>
      <c r="E412" s="1737"/>
      <c r="F412" s="1737"/>
      <c r="I412" s="391"/>
    </row>
    <row r="413" spans="1:9">
      <c r="A413" s="377"/>
      <c r="B413" s="377"/>
      <c r="C413" s="397"/>
      <c r="D413" s="1737"/>
      <c r="E413" s="1737"/>
      <c r="F413" s="1737"/>
      <c r="I413" s="391"/>
    </row>
    <row r="414" spans="1:9">
      <c r="A414" s="377"/>
      <c r="B414" s="377"/>
      <c r="C414" s="397"/>
      <c r="D414" s="1737"/>
      <c r="E414" s="1737"/>
      <c r="F414" s="1737"/>
      <c r="I414" s="391"/>
    </row>
    <row r="415" spans="1:9">
      <c r="A415" s="377"/>
      <c r="B415" s="377"/>
      <c r="C415" s="377"/>
      <c r="D415" s="1737"/>
      <c r="E415" s="1737"/>
      <c r="F415" s="1737"/>
      <c r="I415" s="391"/>
    </row>
    <row r="416" spans="1:9">
      <c r="A416" s="377"/>
      <c r="B416" s="377"/>
      <c r="C416" s="397"/>
      <c r="D416" s="1737"/>
      <c r="E416" s="1737"/>
      <c r="F416" s="1737"/>
      <c r="I416" s="391"/>
    </row>
    <row r="417" spans="1:9">
      <c r="A417" s="377"/>
      <c r="B417" s="377"/>
      <c r="C417" s="397"/>
      <c r="D417" s="1737"/>
      <c r="E417" s="1737"/>
      <c r="F417" s="1737"/>
      <c r="I417" s="391"/>
    </row>
    <row r="418" spans="1:9">
      <c r="A418" s="377"/>
      <c r="B418" s="377"/>
      <c r="C418" s="397"/>
      <c r="D418" s="1737"/>
      <c r="E418" s="1737"/>
      <c r="F418" s="1737"/>
      <c r="I418" s="391"/>
    </row>
    <row r="419" spans="1:9">
      <c r="A419" s="377"/>
      <c r="B419" s="377"/>
      <c r="C419" s="377"/>
      <c r="D419" s="349"/>
      <c r="E419" s="349"/>
      <c r="F419" s="348"/>
      <c r="I419" s="391"/>
    </row>
    <row r="420" spans="1:9">
      <c r="A420" s="377"/>
      <c r="B420" s="386" t="s">
        <v>316</v>
      </c>
      <c r="C420" s="377"/>
      <c r="D420" s="1737" t="s">
        <v>424</v>
      </c>
      <c r="E420" s="1737"/>
      <c r="F420" s="1737"/>
      <c r="I420" s="391"/>
    </row>
    <row r="421" spans="1:9">
      <c r="A421" s="377"/>
      <c r="B421" s="377"/>
      <c r="C421" s="377"/>
      <c r="D421" s="1737"/>
      <c r="E421" s="1737"/>
      <c r="F421" s="1737"/>
      <c r="I421" s="391"/>
    </row>
    <row r="422" spans="1:9">
      <c r="A422" s="377"/>
      <c r="B422" s="377"/>
      <c r="C422" s="377"/>
      <c r="D422" s="353"/>
      <c r="E422" s="353"/>
      <c r="F422" s="353"/>
      <c r="I422" s="391"/>
    </row>
    <row r="423" spans="1:9" ht="14.45" customHeight="1">
      <c r="A423" s="385"/>
      <c r="B423" s="386" t="s">
        <v>316</v>
      </c>
      <c r="D423" s="1737" t="s">
        <v>425</v>
      </c>
      <c r="E423" s="1737"/>
      <c r="F423" s="1737"/>
      <c r="I423" s="391"/>
    </row>
    <row r="424" spans="1:9" ht="14.45" customHeight="1">
      <c r="A424" s="385"/>
      <c r="D424" s="1737"/>
      <c r="E424" s="1737"/>
      <c r="F424" s="1737"/>
      <c r="I424" s="391"/>
    </row>
    <row r="425" spans="1:9" ht="14.45" customHeight="1">
      <c r="A425" s="385"/>
      <c r="D425" s="1737"/>
      <c r="E425" s="1737"/>
      <c r="F425" s="1737"/>
      <c r="I425" s="391"/>
    </row>
    <row r="426" spans="1:9" ht="14.45" customHeight="1">
      <c r="A426" s="385"/>
      <c r="D426" s="1737"/>
      <c r="E426" s="1737"/>
      <c r="F426" s="1737"/>
      <c r="I426" s="391"/>
    </row>
    <row r="427" spans="1:9" ht="14.45" customHeight="1">
      <c r="A427" s="385"/>
      <c r="D427" s="1737"/>
      <c r="E427" s="1737"/>
      <c r="F427" s="1737"/>
      <c r="I427" s="391"/>
    </row>
    <row r="428" spans="1:9" ht="14.45" customHeight="1">
      <c r="A428" s="385"/>
      <c r="D428" s="288"/>
      <c r="E428" s="288"/>
      <c r="F428" s="288"/>
      <c r="I428" s="391"/>
    </row>
    <row r="429" spans="1:9" ht="13.7" customHeight="1">
      <c r="A429" s="385"/>
      <c r="B429" s="386" t="s">
        <v>316</v>
      </c>
      <c r="C429" s="377"/>
      <c r="D429" s="1737" t="s">
        <v>426</v>
      </c>
      <c r="E429" s="1737"/>
      <c r="F429" s="1737"/>
      <c r="I429" s="391"/>
    </row>
    <row r="430" spans="1:9" ht="14.25">
      <c r="A430" s="398"/>
      <c r="B430" s="398"/>
      <c r="C430" s="377"/>
      <c r="D430" s="1737"/>
      <c r="E430" s="1737"/>
      <c r="F430" s="1737"/>
      <c r="I430" s="391"/>
    </row>
    <row r="431" spans="1:9" ht="14.25">
      <c r="A431" s="398"/>
      <c r="B431" s="398"/>
      <c r="C431" s="377"/>
      <c r="D431" s="1737"/>
      <c r="E431" s="1737"/>
      <c r="F431" s="1737"/>
      <c r="I431" s="391"/>
    </row>
    <row r="432" spans="1:9" ht="14.25">
      <c r="A432" s="398"/>
      <c r="B432" s="398"/>
      <c r="C432" s="377"/>
      <c r="D432" s="1737"/>
      <c r="E432" s="1737"/>
      <c r="F432" s="1737"/>
      <c r="I432" s="391"/>
    </row>
    <row r="433" spans="1:9" ht="15.75" customHeight="1">
      <c r="A433" s="398"/>
      <c r="B433" s="398"/>
      <c r="C433" s="377"/>
      <c r="D433" s="1794" t="s">
        <v>427</v>
      </c>
      <c r="E433" s="1737"/>
      <c r="F433" s="1737"/>
      <c r="I433" s="391"/>
    </row>
    <row r="434" spans="1:9">
      <c r="D434" s="348"/>
      <c r="E434" s="348"/>
      <c r="F434" s="348"/>
      <c r="I434" s="391"/>
    </row>
    <row r="435" spans="1:9" ht="14.25">
      <c r="A435" s="385"/>
      <c r="B435" s="386" t="s">
        <v>316</v>
      </c>
      <c r="C435" s="388"/>
      <c r="D435" s="1763" t="s">
        <v>428</v>
      </c>
      <c r="E435" s="1763"/>
      <c r="F435" s="1763"/>
      <c r="I435" s="391"/>
    </row>
    <row r="436" spans="1:9" ht="14.25">
      <c r="A436" s="385"/>
      <c r="B436" s="385"/>
      <c r="D436" s="1763"/>
      <c r="E436" s="1763"/>
      <c r="F436" s="1763"/>
      <c r="I436" s="391"/>
    </row>
    <row r="437" spans="1:9">
      <c r="D437" s="1763"/>
      <c r="E437" s="1763"/>
      <c r="F437" s="1763"/>
      <c r="I437" s="391"/>
    </row>
    <row r="438" spans="1:9">
      <c r="D438" s="1763"/>
      <c r="E438" s="1763"/>
      <c r="F438" s="1763"/>
      <c r="I438" s="391"/>
    </row>
    <row r="439" spans="1:9">
      <c r="D439" s="1763"/>
      <c r="E439" s="1763"/>
      <c r="F439" s="1763"/>
      <c r="I439" s="391"/>
    </row>
    <row r="440" spans="1:9">
      <c r="D440" s="1763"/>
      <c r="E440" s="1763"/>
      <c r="F440" s="1763"/>
      <c r="I440" s="391"/>
    </row>
    <row r="441" spans="1:9">
      <c r="D441" s="1763"/>
      <c r="E441" s="1763"/>
      <c r="F441" s="1763"/>
      <c r="I441" s="391"/>
    </row>
    <row r="442" spans="1:9">
      <c r="D442" s="1763"/>
      <c r="E442" s="1763"/>
      <c r="F442" s="1763"/>
      <c r="I442" s="391"/>
    </row>
    <row r="443" spans="1:9">
      <c r="D443" s="1763"/>
      <c r="E443" s="1763"/>
      <c r="F443" s="1763"/>
      <c r="I443" s="391"/>
    </row>
    <row r="444" spans="1:9">
      <c r="D444" s="1763"/>
      <c r="E444" s="1763"/>
      <c r="F444" s="1763"/>
      <c r="I444" s="391"/>
    </row>
    <row r="445" spans="1:9">
      <c r="D445" s="1763"/>
      <c r="E445" s="1763"/>
      <c r="F445" s="1763"/>
      <c r="I445" s="391"/>
    </row>
    <row r="446" spans="1:9">
      <c r="D446" s="1763"/>
      <c r="E446" s="1763"/>
      <c r="F446" s="1763"/>
      <c r="I446" s="391"/>
    </row>
    <row r="447" spans="1:9">
      <c r="D447" s="1763"/>
      <c r="E447" s="1763"/>
      <c r="F447" s="1763"/>
      <c r="I447" s="391"/>
    </row>
    <row r="448" spans="1:9">
      <c r="A448" s="305"/>
      <c r="B448" s="305"/>
      <c r="C448" s="305"/>
      <c r="D448" s="1763"/>
      <c r="E448" s="1763"/>
      <c r="F448" s="1763"/>
      <c r="I448" s="391"/>
    </row>
    <row r="449" spans="1:9">
      <c r="A449" s="305"/>
      <c r="B449" s="305"/>
      <c r="C449" s="305"/>
      <c r="D449" s="1763"/>
      <c r="E449" s="1763"/>
      <c r="F449" s="1763"/>
      <c r="I449" s="391"/>
    </row>
    <row r="450" spans="1:9">
      <c r="A450" s="305"/>
      <c r="B450" s="305"/>
      <c r="C450" s="305"/>
      <c r="D450" s="1763"/>
      <c r="E450" s="1763"/>
      <c r="F450" s="1763"/>
      <c r="I450" s="391"/>
    </row>
    <row r="451" spans="1:9">
      <c r="A451" s="305"/>
      <c r="B451" s="305"/>
      <c r="C451" s="305"/>
      <c r="D451" s="1763"/>
      <c r="E451" s="1763"/>
      <c r="F451" s="1763"/>
      <c r="I451" s="391"/>
    </row>
    <row r="452" spans="1:9">
      <c r="A452" s="305"/>
      <c r="B452" s="305"/>
      <c r="C452" s="305"/>
      <c r="D452" s="1763"/>
      <c r="E452" s="1763"/>
      <c r="F452" s="1763"/>
      <c r="I452" s="391"/>
    </row>
    <row r="453" spans="1:9">
      <c r="A453" s="305"/>
      <c r="B453" s="305"/>
      <c r="C453" s="305"/>
      <c r="D453" s="1763"/>
      <c r="E453" s="1763"/>
      <c r="F453" s="1763"/>
      <c r="I453" s="391"/>
    </row>
    <row r="454" spans="1:9">
      <c r="A454" s="305"/>
      <c r="B454" s="305"/>
      <c r="C454" s="305"/>
      <c r="D454" s="1763"/>
      <c r="E454" s="1763"/>
      <c r="F454" s="1763"/>
      <c r="I454" s="391"/>
    </row>
    <row r="455" spans="1:9">
      <c r="A455" s="305"/>
      <c r="B455" s="305"/>
      <c r="C455" s="305"/>
      <c r="D455" s="1763"/>
      <c r="E455" s="1763"/>
      <c r="F455" s="1763"/>
      <c r="I455" s="391"/>
    </row>
    <row r="456" spans="1:9">
      <c r="A456" s="305"/>
      <c r="B456" s="305"/>
      <c r="C456" s="305"/>
      <c r="D456" s="1763"/>
      <c r="E456" s="1763"/>
      <c r="F456" s="1763"/>
      <c r="I456" s="391"/>
    </row>
    <row r="457" spans="1:9">
      <c r="A457" s="305"/>
      <c r="B457" s="305"/>
      <c r="C457" s="305"/>
      <c r="D457" s="1763"/>
      <c r="E457" s="1763"/>
      <c r="F457" s="1763"/>
      <c r="I457" s="391"/>
    </row>
    <row r="458" spans="1:9">
      <c r="A458" s="305"/>
      <c r="B458" s="305"/>
      <c r="C458" s="305"/>
      <c r="D458" s="1763"/>
      <c r="E458" s="1763"/>
      <c r="F458" s="1763"/>
      <c r="I458" s="391"/>
    </row>
    <row r="459" spans="1:9">
      <c r="A459" s="305"/>
      <c r="B459" s="305"/>
      <c r="C459" s="305"/>
      <c r="D459" s="1763"/>
      <c r="E459" s="1763"/>
      <c r="F459" s="1763"/>
      <c r="I459" s="391"/>
    </row>
    <row r="460" spans="1:9">
      <c r="A460" s="305"/>
      <c r="B460" s="305"/>
      <c r="C460" s="305"/>
      <c r="D460" s="1763"/>
      <c r="E460" s="1763"/>
      <c r="F460" s="1763"/>
      <c r="I460" s="391"/>
    </row>
    <row r="461" spans="1:9">
      <c r="A461" s="305"/>
      <c r="B461" s="305"/>
      <c r="C461" s="305"/>
      <c r="D461" s="1763"/>
      <c r="E461" s="1763"/>
      <c r="F461" s="1763"/>
      <c r="I461" s="391"/>
    </row>
    <row r="462" spans="1:9">
      <c r="A462" s="305"/>
      <c r="B462" s="305"/>
      <c r="C462" s="305"/>
      <c r="D462" s="1763"/>
      <c r="E462" s="1763"/>
      <c r="F462" s="1763"/>
      <c r="I462" s="391"/>
    </row>
    <row r="463" spans="1:9">
      <c r="A463" s="305"/>
      <c r="B463" s="305"/>
      <c r="C463" s="305"/>
      <c r="D463" s="1763"/>
      <c r="E463" s="1763"/>
      <c r="F463" s="1763"/>
      <c r="I463" s="391"/>
    </row>
    <row r="464" spans="1:9">
      <c r="D464" s="1763"/>
      <c r="E464" s="1763"/>
      <c r="F464" s="1763"/>
      <c r="I464" s="391"/>
    </row>
    <row r="465" spans="1:9" ht="40.700000000000003" customHeight="1">
      <c r="D465" s="1763"/>
      <c r="E465" s="1763"/>
      <c r="F465" s="1763"/>
      <c r="I465" s="391"/>
    </row>
    <row r="466" spans="1:9">
      <c r="D466" s="348"/>
      <c r="E466" s="348"/>
      <c r="F466" s="348"/>
      <c r="I466" s="391"/>
    </row>
    <row r="467" spans="1:9" ht="14.25">
      <c r="A467" s="385"/>
      <c r="B467" s="386" t="s">
        <v>316</v>
      </c>
      <c r="C467" s="388"/>
      <c r="D467" s="1763" t="s">
        <v>429</v>
      </c>
      <c r="E467" s="1763"/>
      <c r="F467" s="1763"/>
      <c r="I467" s="391"/>
    </row>
    <row r="468" spans="1:9">
      <c r="D468" s="1763"/>
      <c r="E468" s="1763"/>
      <c r="F468" s="1763"/>
      <c r="I468" s="391"/>
    </row>
    <row r="469" spans="1:9">
      <c r="D469" s="1763"/>
      <c r="E469" s="1763"/>
      <c r="F469" s="1763"/>
      <c r="I469" s="391"/>
    </row>
    <row r="470" spans="1:9">
      <c r="D470" s="347"/>
      <c r="E470" s="347"/>
      <c r="F470" s="347"/>
      <c r="I470" s="391"/>
    </row>
    <row r="471" spans="1:9" ht="14.25">
      <c r="B471" s="386" t="s">
        <v>316</v>
      </c>
      <c r="C471" s="385"/>
      <c r="D471" s="1763" t="s">
        <v>430</v>
      </c>
      <c r="E471" s="1763"/>
      <c r="F471" s="1763"/>
      <c r="I471" s="391"/>
    </row>
    <row r="472" spans="1:9">
      <c r="D472" s="1763"/>
      <c r="E472" s="1763"/>
      <c r="F472" s="1763"/>
      <c r="I472" s="391"/>
    </row>
    <row r="473" spans="1:9">
      <c r="D473" s="348"/>
      <c r="E473" s="348"/>
      <c r="F473" s="348"/>
      <c r="I473" s="391"/>
    </row>
    <row r="474" spans="1:9" ht="14.25">
      <c r="B474" s="386" t="s">
        <v>316</v>
      </c>
      <c r="C474" s="385"/>
      <c r="D474" s="1763" t="s">
        <v>431</v>
      </c>
      <c r="E474" s="1763"/>
      <c r="F474" s="1763"/>
      <c r="I474" s="391"/>
    </row>
    <row r="475" spans="1:9">
      <c r="D475" s="1763"/>
      <c r="E475" s="1763"/>
      <c r="F475" s="1763"/>
      <c r="I475" s="391"/>
    </row>
    <row r="476" spans="1:9">
      <c r="D476" s="1763"/>
      <c r="E476" s="1763"/>
      <c r="F476" s="1763"/>
      <c r="I476" s="391"/>
    </row>
    <row r="477" spans="1:9">
      <c r="D477" s="1763"/>
      <c r="E477" s="1763"/>
      <c r="F477" s="1763"/>
      <c r="I477" s="391"/>
    </row>
    <row r="478" spans="1:9">
      <c r="B478" s="386" t="s">
        <v>316</v>
      </c>
      <c r="D478" s="1763"/>
      <c r="E478" s="1763"/>
      <c r="F478" s="1763"/>
      <c r="I478" s="391"/>
    </row>
    <row r="479" spans="1:9">
      <c r="A479" s="305"/>
      <c r="B479" s="305"/>
      <c r="C479" s="305"/>
      <c r="D479" s="1763"/>
      <c r="E479" s="1763"/>
      <c r="F479" s="1763"/>
      <c r="I479" s="391"/>
    </row>
    <row r="480" spans="1:9">
      <c r="A480" s="305"/>
      <c r="C480" s="305"/>
      <c r="D480" s="1763"/>
      <c r="E480" s="1763"/>
      <c r="F480" s="1763"/>
      <c r="I480" s="391"/>
    </row>
    <row r="481" spans="1:9">
      <c r="A481" s="305"/>
      <c r="B481" s="386" t="s">
        <v>316</v>
      </c>
      <c r="C481" s="305"/>
      <c r="D481" s="1763"/>
      <c r="E481" s="1763"/>
      <c r="F481" s="1763"/>
      <c r="I481" s="391"/>
    </row>
    <row r="482" spans="1:9">
      <c r="A482" s="305"/>
      <c r="B482" s="305"/>
      <c r="C482" s="305"/>
      <c r="D482" s="1763"/>
      <c r="E482" s="1763"/>
      <c r="F482" s="1763"/>
      <c r="I482" s="391"/>
    </row>
    <row r="483" spans="1:9">
      <c r="A483" s="305"/>
      <c r="C483" s="305"/>
      <c r="D483" s="1763"/>
      <c r="E483" s="1763"/>
      <c r="F483" s="1763"/>
      <c r="I483" s="391"/>
    </row>
    <row r="484" spans="1:9">
      <c r="A484" s="305"/>
      <c r="C484" s="305"/>
      <c r="D484" s="1763"/>
      <c r="E484" s="1763"/>
      <c r="F484" s="1763"/>
      <c r="I484" s="391"/>
    </row>
    <row r="485" spans="1:9">
      <c r="A485" s="305"/>
      <c r="C485" s="305"/>
      <c r="D485" s="1763"/>
      <c r="E485" s="1763"/>
      <c r="F485" s="1763"/>
      <c r="I485" s="391"/>
    </row>
    <row r="486" spans="1:9">
      <c r="A486" s="305"/>
      <c r="B486" s="386" t="s">
        <v>316</v>
      </c>
      <c r="C486" s="305"/>
      <c r="D486" s="1763"/>
      <c r="E486" s="1763"/>
      <c r="F486" s="1763"/>
      <c r="I486" s="391"/>
    </row>
    <row r="487" spans="1:9">
      <c r="A487" s="305"/>
      <c r="C487" s="305"/>
      <c r="D487" s="1763"/>
      <c r="E487" s="1763"/>
      <c r="F487" s="1763"/>
      <c r="I487" s="391"/>
    </row>
    <row r="488" spans="1:9">
      <c r="A488" s="305"/>
      <c r="B488" s="386" t="s">
        <v>316</v>
      </c>
      <c r="C488" s="305"/>
      <c r="D488" s="1763" t="s">
        <v>432</v>
      </c>
      <c r="E488" s="1763"/>
      <c r="F488" s="1763"/>
      <c r="I488" s="391"/>
    </row>
    <row r="489" spans="1:9">
      <c r="A489" s="305"/>
      <c r="B489" s="305"/>
      <c r="C489" s="305"/>
      <c r="D489" s="1763"/>
      <c r="E489" s="1763"/>
      <c r="F489" s="1763"/>
      <c r="I489" s="391"/>
    </row>
    <row r="490" spans="1:9">
      <c r="A490" s="305"/>
      <c r="B490" s="305"/>
      <c r="C490" s="305"/>
      <c r="D490" s="1763"/>
      <c r="E490" s="1763"/>
      <c r="F490" s="1763"/>
      <c r="I490" s="391"/>
    </row>
    <row r="491" spans="1:9">
      <c r="A491" s="305"/>
      <c r="B491" s="305"/>
      <c r="C491" s="305"/>
      <c r="D491" s="1763"/>
      <c r="E491" s="1763"/>
      <c r="F491" s="1763"/>
      <c r="I491" s="391"/>
    </row>
    <row r="492" spans="1:9">
      <c r="D492" s="1763"/>
      <c r="E492" s="1763"/>
      <c r="F492" s="1763"/>
      <c r="I492" s="391"/>
    </row>
    <row r="493" spans="1:9">
      <c r="D493" s="348"/>
      <c r="E493" s="348"/>
      <c r="F493" s="348"/>
      <c r="I493" s="391"/>
    </row>
    <row r="494" spans="1:9">
      <c r="B494" s="386" t="s">
        <v>316</v>
      </c>
      <c r="D494" s="1765" t="s">
        <v>433</v>
      </c>
      <c r="E494" s="1765"/>
      <c r="F494" s="1765"/>
      <c r="I494" s="391"/>
    </row>
    <row r="495" spans="1:9">
      <c r="A495" s="348"/>
      <c r="B495" s="348"/>
      <c r="I495" s="391"/>
    </row>
    <row r="496" spans="1:9">
      <c r="A496" s="1764" t="s">
        <v>434</v>
      </c>
      <c r="B496" s="1764"/>
      <c r="C496" s="1764"/>
      <c r="D496" s="1764"/>
      <c r="E496" s="1764"/>
      <c r="F496" s="1764"/>
      <c r="G496" s="1764"/>
      <c r="H496" s="914"/>
      <c r="I496" s="1036"/>
    </row>
    <row r="497" spans="1:9">
      <c r="A497" s="348"/>
      <c r="B497" s="348"/>
      <c r="I497" s="391"/>
    </row>
    <row r="498" spans="1:9">
      <c r="D498" s="1793" t="s">
        <v>435</v>
      </c>
      <c r="E498" s="1793"/>
      <c r="F498" s="1793"/>
      <c r="I498" s="391"/>
    </row>
    <row r="499" spans="1:9" ht="14.25">
      <c r="A499" s="385"/>
      <c r="B499" s="385"/>
      <c r="D499" s="1773" t="s">
        <v>436</v>
      </c>
      <c r="E499" s="1773"/>
      <c r="F499" s="1773"/>
      <c r="I499" s="391"/>
    </row>
    <row r="500" spans="1:9" ht="14.25">
      <c r="A500" s="385"/>
      <c r="B500" s="385"/>
      <c r="D500" s="349"/>
      <c r="I500" s="391"/>
    </row>
    <row r="501" spans="1:9" ht="14.25">
      <c r="A501" s="385"/>
      <c r="B501" s="386" t="s">
        <v>316</v>
      </c>
      <c r="D501" s="1737" t="s">
        <v>437</v>
      </c>
      <c r="E501" s="1737"/>
      <c r="F501" s="1737"/>
      <c r="I501" s="391"/>
    </row>
    <row r="502" spans="1:9" ht="14.25">
      <c r="A502" s="385"/>
      <c r="B502" s="385"/>
      <c r="D502" s="1737"/>
      <c r="E502" s="1737"/>
      <c r="F502" s="1737"/>
      <c r="I502" s="391"/>
    </row>
    <row r="503" spans="1:9" ht="14.25">
      <c r="A503" s="385"/>
      <c r="B503" s="385"/>
      <c r="D503" s="348"/>
      <c r="I503" s="391"/>
    </row>
    <row r="504" spans="1:9" ht="12.75" customHeight="1">
      <c r="B504" s="386" t="s">
        <v>316</v>
      </c>
      <c r="D504" s="1779" t="s">
        <v>438</v>
      </c>
      <c r="E504" s="1779"/>
      <c r="F504" s="1779"/>
      <c r="I504" s="391"/>
    </row>
    <row r="505" spans="1:9" ht="14.25">
      <c r="A505" s="385"/>
      <c r="D505" s="1779"/>
      <c r="E505" s="1779"/>
      <c r="F505" s="1779"/>
      <c r="I505" s="391"/>
    </row>
    <row r="506" spans="1:9" ht="14.25">
      <c r="A506" s="385"/>
      <c r="B506" s="385"/>
      <c r="D506" s="1779"/>
      <c r="E506" s="1779"/>
      <c r="F506" s="1779"/>
      <c r="I506" s="391"/>
    </row>
    <row r="507" spans="1:9" ht="14.25">
      <c r="A507" s="385"/>
      <c r="B507" s="385"/>
      <c r="D507" s="1779"/>
      <c r="E507" s="1779"/>
      <c r="F507" s="1779"/>
      <c r="I507" s="391"/>
    </row>
    <row r="508" spans="1:9" ht="14.25">
      <c r="A508" s="385"/>
      <c r="D508" s="420"/>
      <c r="E508" s="420"/>
      <c r="F508" s="420"/>
      <c r="I508" s="391"/>
    </row>
    <row r="509" spans="1:9" ht="14.25">
      <c r="A509" s="385"/>
      <c r="B509" s="386" t="s">
        <v>316</v>
      </c>
      <c r="D509" s="1765" t="s">
        <v>439</v>
      </c>
      <c r="E509" s="1765"/>
      <c r="F509" s="1765"/>
      <c r="I509" s="391"/>
    </row>
    <row r="510" spans="1:9" ht="14.25">
      <c r="A510" s="385"/>
      <c r="B510" s="385"/>
      <c r="D510" s="348"/>
      <c r="I510" s="391"/>
    </row>
    <row r="511" spans="1:9" ht="14.25">
      <c r="A511" s="385"/>
      <c r="B511" s="386" t="s">
        <v>316</v>
      </c>
      <c r="D511" s="1763" t="s">
        <v>440</v>
      </c>
      <c r="E511" s="1763"/>
      <c r="F511" s="1763"/>
      <c r="I511" s="391"/>
    </row>
    <row r="512" spans="1:9" ht="14.25">
      <c r="A512" s="385"/>
      <c r="D512" s="1763"/>
      <c r="E512" s="1763"/>
      <c r="F512" s="1763"/>
      <c r="I512" s="391"/>
    </row>
    <row r="513" spans="1:9">
      <c r="A513" s="391"/>
      <c r="B513" s="391"/>
      <c r="D513" s="349"/>
      <c r="I513" s="391"/>
    </row>
    <row r="514" spans="1:9">
      <c r="A514" s="391"/>
      <c r="B514" s="386" t="s">
        <v>316</v>
      </c>
      <c r="D514" s="1765" t="s">
        <v>441</v>
      </c>
      <c r="E514" s="1765"/>
      <c r="F514" s="1765"/>
      <c r="I514" s="391"/>
    </row>
    <row r="515" spans="1:9">
      <c r="D515" s="348"/>
      <c r="E515" s="348"/>
      <c r="F515" s="348"/>
      <c r="I515" s="391"/>
    </row>
    <row r="516" spans="1:9">
      <c r="B516" s="386" t="s">
        <v>316</v>
      </c>
      <c r="D516" s="1763" t="s">
        <v>442</v>
      </c>
      <c r="E516" s="1763"/>
      <c r="F516" s="1763"/>
      <c r="I516" s="391"/>
    </row>
    <row r="517" spans="1:9">
      <c r="D517" s="1763"/>
      <c r="E517" s="1763"/>
      <c r="F517" s="1763"/>
      <c r="I517" s="391"/>
    </row>
    <row r="518" spans="1:9">
      <c r="D518" s="1763"/>
      <c r="E518" s="1763"/>
      <c r="F518" s="1763"/>
      <c r="I518" s="391"/>
    </row>
    <row r="519" spans="1:9">
      <c r="D519" s="348"/>
      <c r="E519" s="348"/>
      <c r="F519" s="348"/>
      <c r="I519" s="391"/>
    </row>
    <row r="520" spans="1:9" ht="14.25">
      <c r="A520" s="385"/>
      <c r="B520" s="385"/>
      <c r="D520" s="348"/>
      <c r="I520" s="391"/>
    </row>
    <row r="521" spans="1:9">
      <c r="A521" s="1764" t="s">
        <v>443</v>
      </c>
      <c r="B521" s="1764"/>
      <c r="C521" s="1764"/>
      <c r="D521" s="1764"/>
      <c r="E521" s="1764"/>
      <c r="F521" s="1764"/>
      <c r="G521" s="1764"/>
      <c r="H521" s="914"/>
      <c r="I521" s="1036"/>
    </row>
    <row r="522" spans="1:9" ht="12" customHeight="1">
      <c r="A522" s="385"/>
      <c r="B522" s="385"/>
      <c r="D522" s="348"/>
      <c r="I522" s="391"/>
    </row>
    <row r="523" spans="1:9">
      <c r="C523" s="383"/>
      <c r="D523" s="1766" t="s">
        <v>444</v>
      </c>
      <c r="E523" s="1766"/>
      <c r="F523" s="1766"/>
      <c r="I523" s="391"/>
    </row>
    <row r="524" spans="1:9">
      <c r="C524" s="383"/>
      <c r="D524" s="407" t="s">
        <v>445</v>
      </c>
      <c r="E524" s="407"/>
      <c r="F524" s="407"/>
      <c r="I524" s="391"/>
    </row>
    <row r="525" spans="1:9">
      <c r="C525" s="383"/>
      <c r="D525" s="407" t="s">
        <v>446</v>
      </c>
      <c r="E525" s="407"/>
      <c r="F525" s="407"/>
      <c r="I525" s="391"/>
    </row>
    <row r="526" spans="1:9">
      <c r="C526" s="383"/>
      <c r="D526" s="382"/>
      <c r="E526" s="382"/>
      <c r="F526" s="382"/>
      <c r="I526" s="391"/>
    </row>
    <row r="527" spans="1:9" ht="13.7" customHeight="1">
      <c r="A527" s="384"/>
      <c r="B527" s="386" t="s">
        <v>311</v>
      </c>
      <c r="C527" s="384"/>
      <c r="D527" s="1737" t="s">
        <v>447</v>
      </c>
      <c r="E527" s="1737"/>
      <c r="F527" s="1737"/>
      <c r="I527" s="391"/>
    </row>
    <row r="528" spans="1:9">
      <c r="A528" s="384"/>
      <c r="B528" s="384"/>
      <c r="C528" s="384"/>
      <c r="D528" s="1737"/>
      <c r="E528" s="1737"/>
      <c r="F528" s="1737"/>
      <c r="I528" s="391"/>
    </row>
    <row r="529" spans="1:9">
      <c r="A529" s="384"/>
      <c r="B529" s="384"/>
      <c r="C529" s="384"/>
      <c r="D529" s="353"/>
      <c r="E529" s="353"/>
      <c r="F529" s="353"/>
      <c r="I529" s="381"/>
    </row>
    <row r="530" spans="1:9" ht="12.75" customHeight="1">
      <c r="A530" s="384"/>
      <c r="B530" s="386" t="s">
        <v>316</v>
      </c>
      <c r="D530" s="289" t="s">
        <v>448</v>
      </c>
      <c r="E530" s="288"/>
      <c r="F530" s="288"/>
      <c r="I530" s="391"/>
    </row>
    <row r="531" spans="1:9">
      <c r="A531" s="384"/>
      <c r="B531" s="384"/>
      <c r="C531" s="384"/>
      <c r="D531" s="288"/>
      <c r="E531" s="71" t="s">
        <v>449</v>
      </c>
      <c r="I531" s="391"/>
    </row>
    <row r="532" spans="1:9">
      <c r="A532" s="384"/>
      <c r="B532" s="384"/>
      <c r="D532" s="1745" t="s">
        <v>450</v>
      </c>
      <c r="E532" s="1745"/>
      <c r="F532" s="1745"/>
      <c r="I532" s="391"/>
    </row>
    <row r="533" spans="1:9">
      <c r="A533" s="384"/>
      <c r="B533" s="384"/>
      <c r="D533" s="1745"/>
      <c r="E533" s="1745"/>
      <c r="F533" s="1745"/>
      <c r="I533" s="391"/>
    </row>
    <row r="534" spans="1:9">
      <c r="A534" s="384"/>
      <c r="B534" s="384"/>
      <c r="C534" s="384"/>
      <c r="D534" s="1745"/>
      <c r="E534" s="1745"/>
      <c r="F534" s="1745"/>
      <c r="I534" s="391"/>
    </row>
    <row r="535" spans="1:9">
      <c r="A535" s="384"/>
      <c r="B535" s="384"/>
      <c r="C535" s="384"/>
      <c r="D535" s="399"/>
      <c r="F535" s="348"/>
      <c r="I535" s="391"/>
    </row>
    <row r="536" spans="1:9" ht="13.15" customHeight="1">
      <c r="A536" s="384"/>
      <c r="B536" s="386" t="s">
        <v>316</v>
      </c>
      <c r="C536" s="384"/>
      <c r="D536" s="1763" t="s">
        <v>451</v>
      </c>
      <c r="E536" s="1763"/>
      <c r="F536" s="1763"/>
      <c r="I536" s="391"/>
    </row>
    <row r="537" spans="1:9" ht="13.15" customHeight="1">
      <c r="A537" s="384"/>
      <c r="B537" s="384"/>
      <c r="C537" s="384"/>
      <c r="D537" s="1763"/>
      <c r="E537" s="1763"/>
      <c r="F537" s="1763"/>
      <c r="I537" s="391"/>
    </row>
    <row r="538" spans="1:9">
      <c r="A538" s="384"/>
      <c r="B538" s="384"/>
      <c r="C538" s="384"/>
      <c r="D538" s="1763"/>
      <c r="E538" s="1763"/>
      <c r="F538" s="1763"/>
      <c r="I538" s="391"/>
    </row>
    <row r="539" spans="1:9" ht="12" customHeight="1">
      <c r="A539" s="348"/>
      <c r="B539" s="348"/>
      <c r="C539" s="388"/>
      <c r="D539" s="348"/>
      <c r="F539" s="350"/>
      <c r="I539" s="391"/>
    </row>
    <row r="540" spans="1:9">
      <c r="A540" s="1764" t="s">
        <v>452</v>
      </c>
      <c r="B540" s="1764"/>
      <c r="C540" s="1764"/>
      <c r="D540" s="1764"/>
      <c r="E540" s="1764"/>
      <c r="F540" s="1764"/>
      <c r="G540" s="1764"/>
      <c r="H540" s="914"/>
      <c r="I540" s="1036"/>
    </row>
    <row r="541" spans="1:9">
      <c r="A541" s="348"/>
      <c r="B541" s="348"/>
      <c r="C541" s="388"/>
      <c r="F541" s="350"/>
      <c r="I541" s="391"/>
    </row>
    <row r="542" spans="1:9">
      <c r="B542" s="1769" t="s">
        <v>350</v>
      </c>
      <c r="C542" s="1769"/>
      <c r="D542" s="1769"/>
      <c r="E542" s="1769"/>
      <c r="F542" s="1769"/>
      <c r="I542" s="391"/>
    </row>
    <row r="543" spans="1:9">
      <c r="A543" s="348"/>
      <c r="B543" s="348"/>
      <c r="C543" s="388"/>
      <c r="D543" s="348"/>
      <c r="F543" s="348"/>
      <c r="I543" s="391"/>
    </row>
    <row r="544" spans="1:9">
      <c r="A544" s="1767" t="s">
        <v>453</v>
      </c>
      <c r="B544" s="1767"/>
      <c r="C544" s="1767"/>
      <c r="D544" s="1767"/>
      <c r="E544" s="1767"/>
      <c r="F544" s="1767"/>
      <c r="G544" s="1767"/>
      <c r="H544" s="914"/>
      <c r="I544" s="1036"/>
    </row>
    <row r="545" spans="1:9">
      <c r="A545" s="348"/>
      <c r="B545" s="348"/>
      <c r="C545" s="388"/>
      <c r="D545" s="348"/>
      <c r="F545" s="348"/>
      <c r="I545" s="391"/>
    </row>
    <row r="546" spans="1:9">
      <c r="C546" s="388"/>
      <c r="D546" s="1766" t="s">
        <v>454</v>
      </c>
      <c r="E546" s="1766"/>
      <c r="F546" s="1766"/>
      <c r="I546" s="391"/>
    </row>
    <row r="547" spans="1:9">
      <c r="C547" s="388"/>
      <c r="D547" s="1765" t="s">
        <v>455</v>
      </c>
      <c r="E547" s="1765"/>
      <c r="F547" s="1765"/>
      <c r="I547" s="391"/>
    </row>
    <row r="548" spans="1:9">
      <c r="C548" s="388"/>
      <c r="D548" s="348"/>
      <c r="E548" s="348"/>
      <c r="F548" s="348"/>
      <c r="I548" s="391"/>
    </row>
    <row r="549" spans="1:9" ht="13.7" customHeight="1">
      <c r="A549" s="385"/>
      <c r="B549" s="386" t="s">
        <v>311</v>
      </c>
      <c r="C549" s="388"/>
      <c r="D549" s="1765" t="s">
        <v>456</v>
      </c>
      <c r="E549" s="1765"/>
      <c r="F549" s="1765"/>
      <c r="I549" s="391"/>
    </row>
    <row r="550" spans="1:9" ht="13.7" customHeight="1">
      <c r="A550" s="388"/>
      <c r="B550" s="388"/>
      <c r="C550" s="388"/>
      <c r="D550" s="348"/>
      <c r="I550" s="391"/>
    </row>
    <row r="551" spans="1:9" ht="14.25">
      <c r="A551" s="385"/>
      <c r="B551" s="386" t="s">
        <v>311</v>
      </c>
      <c r="C551" s="388"/>
      <c r="D551" s="1763" t="s">
        <v>457</v>
      </c>
      <c r="E551" s="1763"/>
      <c r="F551" s="1763"/>
      <c r="I551" s="391"/>
    </row>
    <row r="552" spans="1:9">
      <c r="A552" s="388"/>
      <c r="B552" s="388"/>
      <c r="C552" s="388"/>
      <c r="D552" s="1763"/>
      <c r="E552" s="1763"/>
      <c r="F552" s="1763"/>
      <c r="I552" s="391"/>
    </row>
    <row r="553" spans="1:9">
      <c r="A553" s="388"/>
      <c r="B553" s="388"/>
      <c r="C553" s="388"/>
      <c r="D553" s="348"/>
      <c r="E553" s="348"/>
      <c r="F553" s="348"/>
      <c r="I553" s="391"/>
    </row>
    <row r="554" spans="1:9" ht="14.25">
      <c r="A554" s="385"/>
      <c r="B554" s="386" t="s">
        <v>311</v>
      </c>
      <c r="C554" s="388"/>
      <c r="D554" s="1763" t="s">
        <v>458</v>
      </c>
      <c r="E554" s="1763"/>
      <c r="F554" s="1763"/>
      <c r="I554" s="391"/>
    </row>
    <row r="555" spans="1:9">
      <c r="A555" s="388"/>
      <c r="B555" s="388"/>
      <c r="C555" s="388"/>
      <c r="D555" s="1763"/>
      <c r="E555" s="1763"/>
      <c r="F555" s="1763"/>
      <c r="I555" s="391"/>
    </row>
    <row r="556" spans="1:9">
      <c r="A556" s="388"/>
      <c r="B556" s="388"/>
      <c r="C556" s="388"/>
      <c r="D556" s="348"/>
      <c r="E556" s="348"/>
      <c r="F556" s="348"/>
      <c r="I556" s="391"/>
    </row>
    <row r="557" spans="1:9" ht="14.25">
      <c r="A557" s="385"/>
      <c r="B557" s="386" t="s">
        <v>311</v>
      </c>
      <c r="C557" s="388"/>
      <c r="D557" s="1763" t="s">
        <v>459</v>
      </c>
      <c r="E557" s="1763"/>
      <c r="F557" s="1763"/>
      <c r="I557" s="391"/>
    </row>
    <row r="558" spans="1:9">
      <c r="A558" s="388"/>
      <c r="B558" s="388"/>
      <c r="C558" s="388"/>
      <c r="D558" s="1763"/>
      <c r="E558" s="1763"/>
      <c r="F558" s="1763"/>
      <c r="I558" s="391"/>
    </row>
    <row r="559" spans="1:9">
      <c r="A559" s="388"/>
      <c r="B559" s="388"/>
      <c r="C559" s="388"/>
      <c r="D559" s="348"/>
      <c r="E559" s="348"/>
      <c r="F559" s="348"/>
      <c r="I559" s="391"/>
    </row>
    <row r="560" spans="1:9" ht="14.25">
      <c r="A560" s="385"/>
      <c r="B560" s="386" t="s">
        <v>311</v>
      </c>
      <c r="C560" s="388"/>
      <c r="D560" s="1763" t="s">
        <v>460</v>
      </c>
      <c r="E560" s="1763"/>
      <c r="F560" s="1763"/>
      <c r="I560" s="391"/>
    </row>
    <row r="561" spans="1:9">
      <c r="A561" s="388"/>
      <c r="B561" s="388"/>
      <c r="C561" s="388"/>
      <c r="D561" s="1763"/>
      <c r="E561" s="1763"/>
      <c r="F561" s="1763"/>
      <c r="I561" s="391"/>
    </row>
    <row r="562" spans="1:9">
      <c r="A562" s="388"/>
      <c r="B562" s="388"/>
      <c r="C562" s="388"/>
      <c r="D562" s="1763"/>
      <c r="E562" s="1763"/>
      <c r="F562" s="1763"/>
      <c r="I562" s="391"/>
    </row>
    <row r="563" spans="1:9">
      <c r="A563" s="388"/>
      <c r="B563" s="388"/>
      <c r="C563" s="388"/>
      <c r="D563" s="348"/>
      <c r="E563" s="348"/>
      <c r="F563" s="348"/>
      <c r="I563" s="391"/>
    </row>
    <row r="564" spans="1:9" ht="14.25">
      <c r="A564" s="385"/>
      <c r="B564" s="386" t="s">
        <v>316</v>
      </c>
      <c r="C564" s="388"/>
      <c r="D564" s="1763" t="s">
        <v>461</v>
      </c>
      <c r="E564" s="1763"/>
      <c r="F564" s="1763"/>
      <c r="I564" s="391"/>
    </row>
    <row r="565" spans="1:9">
      <c r="A565" s="388"/>
      <c r="B565" s="388"/>
      <c r="C565" s="388"/>
      <c r="D565" s="1763"/>
      <c r="E565" s="1763"/>
      <c r="F565" s="1763"/>
      <c r="I565" s="391"/>
    </row>
    <row r="566" spans="1:9">
      <c r="A566" s="388"/>
      <c r="B566" s="388"/>
      <c r="C566" s="388"/>
      <c r="D566" s="348"/>
      <c r="E566" s="348"/>
      <c r="F566" s="348"/>
      <c r="I566" s="391"/>
    </row>
    <row r="567" spans="1:9" ht="14.25">
      <c r="A567" s="385"/>
      <c r="B567" s="386" t="s">
        <v>316</v>
      </c>
      <c r="C567" s="388"/>
      <c r="D567" s="1763" t="s">
        <v>462</v>
      </c>
      <c r="E567" s="1763"/>
      <c r="F567" s="1763"/>
      <c r="I567" s="391"/>
    </row>
    <row r="568" spans="1:9">
      <c r="A568" s="388"/>
      <c r="B568" s="388"/>
      <c r="C568" s="388"/>
      <c r="D568" s="1763"/>
      <c r="E568" s="1763"/>
      <c r="F568" s="1763"/>
      <c r="I568" s="391"/>
    </row>
    <row r="569" spans="1:9">
      <c r="A569" s="388"/>
      <c r="B569" s="388"/>
      <c r="C569" s="388"/>
      <c r="D569" s="348"/>
      <c r="E569" s="348"/>
      <c r="F569" s="348"/>
      <c r="I569" s="391"/>
    </row>
    <row r="570" spans="1:9" ht="14.25">
      <c r="A570" s="385"/>
      <c r="B570" s="386" t="s">
        <v>311</v>
      </c>
      <c r="C570" s="388"/>
      <c r="D570" s="1765" t="s">
        <v>463</v>
      </c>
      <c r="E570" s="1765"/>
      <c r="F570" s="1765"/>
      <c r="I570" s="391"/>
    </row>
    <row r="571" spans="1:9">
      <c r="A571" s="391"/>
      <c r="B571" s="391"/>
      <c r="C571" s="388"/>
      <c r="D571" s="1765" t="s">
        <v>464</v>
      </c>
      <c r="E571" s="1765"/>
      <c r="F571" s="1765"/>
      <c r="I571" s="391"/>
    </row>
    <row r="572" spans="1:9">
      <c r="A572" s="391"/>
      <c r="B572" s="391"/>
      <c r="C572" s="388"/>
      <c r="E572" s="71" t="s">
        <v>465</v>
      </c>
      <c r="F572" s="307"/>
      <c r="I572" s="391"/>
    </row>
    <row r="573" spans="1:9" ht="14.25">
      <c r="A573" s="385"/>
      <c r="B573" s="385"/>
      <c r="C573" s="388"/>
      <c r="E573" s="348"/>
      <c r="F573" s="348"/>
      <c r="I573" s="391"/>
    </row>
    <row r="574" spans="1:9" ht="14.25">
      <c r="A574" s="385"/>
      <c r="B574" s="386" t="s">
        <v>311</v>
      </c>
      <c r="C574" s="388"/>
      <c r="D574" s="1765" t="s">
        <v>466</v>
      </c>
      <c r="E574" s="1765"/>
      <c r="F574" s="1765"/>
      <c r="I574" s="391"/>
    </row>
    <row r="575" spans="1:9">
      <c r="C575" s="388"/>
      <c r="D575" s="1763" t="s">
        <v>467</v>
      </c>
      <c r="E575" s="1763"/>
      <c r="F575" s="1763"/>
      <c r="I575" s="391"/>
    </row>
    <row r="576" spans="1:9">
      <c r="A576" s="388"/>
      <c r="B576" s="388"/>
      <c r="C576" s="388"/>
      <c r="D576" s="1763"/>
      <c r="E576" s="1763"/>
      <c r="F576" s="1763"/>
      <c r="I576" s="391"/>
    </row>
    <row r="577" spans="1:9">
      <c r="A577" s="388"/>
      <c r="B577" s="388"/>
      <c r="C577" s="388"/>
      <c r="D577" s="1763"/>
      <c r="E577" s="1763"/>
      <c r="F577" s="1763"/>
      <c r="I577" s="391"/>
    </row>
    <row r="578" spans="1:9">
      <c r="A578" s="388"/>
      <c r="B578" s="388"/>
      <c r="C578" s="388"/>
      <c r="D578" s="348"/>
      <c r="E578" s="348"/>
      <c r="F578" s="348"/>
      <c r="I578" s="391"/>
    </row>
    <row r="579" spans="1:9" ht="14.25">
      <c r="A579" s="385"/>
      <c r="B579" s="386" t="s">
        <v>311</v>
      </c>
      <c r="C579" s="388"/>
      <c r="D579" s="1763" t="s">
        <v>468</v>
      </c>
      <c r="E579" s="1763"/>
      <c r="F579" s="1763"/>
      <c r="I579" s="391"/>
    </row>
    <row r="580" spans="1:9" ht="14.25">
      <c r="A580" s="385"/>
      <c r="B580" s="385"/>
      <c r="C580" s="388"/>
      <c r="D580" s="1763"/>
      <c r="E580" s="1763"/>
      <c r="F580" s="1763"/>
      <c r="I580" s="391"/>
    </row>
    <row r="581" spans="1:9" ht="14.25">
      <c r="A581" s="385"/>
      <c r="B581" s="385"/>
      <c r="C581" s="388"/>
      <c r="D581" s="1763"/>
      <c r="E581" s="1763"/>
      <c r="F581" s="1763"/>
      <c r="I581" s="391"/>
    </row>
    <row r="582" spans="1:9" ht="14.25">
      <c r="A582" s="385"/>
      <c r="B582" s="385"/>
      <c r="C582" s="388"/>
      <c r="D582" s="1763"/>
      <c r="E582" s="1763"/>
      <c r="F582" s="1763"/>
      <c r="I582" s="391"/>
    </row>
    <row r="583" spans="1:9" ht="14.25">
      <c r="A583" s="385"/>
      <c r="B583" s="385"/>
      <c r="C583" s="388"/>
      <c r="D583" s="348"/>
      <c r="E583" s="348"/>
      <c r="F583" s="348"/>
      <c r="I583" s="391"/>
    </row>
    <row r="584" spans="1:9">
      <c r="A584" s="1764" t="s">
        <v>469</v>
      </c>
      <c r="B584" s="1764"/>
      <c r="C584" s="1764"/>
      <c r="D584" s="1764"/>
      <c r="E584" s="1764"/>
      <c r="F584" s="1764"/>
      <c r="G584" s="1764"/>
      <c r="H584" s="914"/>
      <c r="I584" s="1036"/>
    </row>
    <row r="585" spans="1:9">
      <c r="A585" s="388"/>
      <c r="B585" s="388"/>
      <c r="C585" s="388"/>
      <c r="E585" s="348"/>
      <c r="F585" s="348"/>
      <c r="I585" s="391"/>
    </row>
    <row r="586" spans="1:9" ht="12.75" customHeight="1">
      <c r="C586" s="383"/>
      <c r="D586" s="1783" t="s">
        <v>470</v>
      </c>
      <c r="E586" s="1783"/>
      <c r="F586" s="1783"/>
      <c r="I586" s="391"/>
    </row>
    <row r="587" spans="1:9">
      <c r="A587" s="384"/>
      <c r="B587" s="384"/>
      <c r="C587" s="384"/>
      <c r="D587" s="1779" t="s">
        <v>471</v>
      </c>
      <c r="E587" s="1779"/>
      <c r="F587" s="1779"/>
      <c r="I587" s="391"/>
    </row>
    <row r="588" spans="1:9">
      <c r="A588" s="305"/>
      <c r="B588" s="305"/>
      <c r="C588" s="384"/>
      <c r="D588" s="400"/>
      <c r="I588" s="391"/>
    </row>
    <row r="589" spans="1:9" hidden="1">
      <c r="A589" s="384"/>
      <c r="B589" s="386" t="s">
        <v>472</v>
      </c>
      <c r="D589" s="1779" t="s">
        <v>473</v>
      </c>
      <c r="E589" s="1779"/>
      <c r="F589" s="1779"/>
      <c r="I589" s="391"/>
    </row>
    <row r="590" spans="1:9" hidden="1">
      <c r="A590" s="391"/>
      <c r="B590" s="391"/>
      <c r="D590" s="377"/>
      <c r="I590" s="391"/>
    </row>
    <row r="591" spans="1:9">
      <c r="A591" s="391"/>
      <c r="B591" s="386" t="s">
        <v>311</v>
      </c>
      <c r="D591" s="1779" t="s">
        <v>474</v>
      </c>
      <c r="E591" s="1779"/>
      <c r="F591" s="1779"/>
      <c r="I591" s="391"/>
    </row>
    <row r="592" spans="1:9">
      <c r="A592" s="391"/>
      <c r="B592" s="391"/>
      <c r="D592" s="1779"/>
      <c r="E592" s="1779"/>
      <c r="F592" s="1779"/>
      <c r="I592" s="391"/>
    </row>
    <row r="593" spans="1:9">
      <c r="A593" s="391"/>
      <c r="B593" s="391"/>
      <c r="D593" s="1779"/>
      <c r="E593" s="1779"/>
      <c r="F593" s="1779"/>
      <c r="I593" s="391"/>
    </row>
    <row r="594" spans="1:9">
      <c r="A594" s="391"/>
      <c r="B594" s="391"/>
      <c r="D594" s="1779"/>
      <c r="E594" s="1779"/>
      <c r="F594" s="1779"/>
      <c r="I594" s="391"/>
    </row>
    <row r="595" spans="1:9">
      <c r="A595" s="391"/>
      <c r="B595" s="386" t="s">
        <v>316</v>
      </c>
      <c r="D595" s="1779" t="s">
        <v>475</v>
      </c>
      <c r="E595" s="1779"/>
      <c r="F595" s="1779"/>
      <c r="I595" s="391"/>
    </row>
    <row r="596" spans="1:9">
      <c r="A596" s="391"/>
      <c r="B596" s="391"/>
      <c r="D596" s="1779"/>
      <c r="E596" s="1779"/>
      <c r="F596" s="1779"/>
      <c r="I596" s="391"/>
    </row>
    <row r="597" spans="1:9">
      <c r="A597" s="391"/>
      <c r="B597" s="391"/>
      <c r="D597" s="1779"/>
      <c r="E597" s="1779"/>
      <c r="F597" s="1779"/>
      <c r="I597" s="391"/>
    </row>
    <row r="598" spans="1:9">
      <c r="A598" s="391"/>
      <c r="B598" s="391"/>
      <c r="D598" s="1779"/>
      <c r="E598" s="1779"/>
      <c r="F598" s="1779"/>
      <c r="I598" s="391"/>
    </row>
    <row r="599" spans="1:9">
      <c r="A599" s="391"/>
      <c r="B599" s="391"/>
      <c r="D599" s="343"/>
      <c r="E599" s="343"/>
      <c r="F599" s="343"/>
      <c r="I599" s="391"/>
    </row>
    <row r="600" spans="1:9">
      <c r="A600" s="391"/>
      <c r="B600" s="386" t="s">
        <v>311</v>
      </c>
      <c r="D600" s="1779" t="s">
        <v>476</v>
      </c>
      <c r="E600" s="1779"/>
      <c r="F600" s="1779"/>
      <c r="I600" s="391"/>
    </row>
    <row r="601" spans="1:9">
      <c r="A601" s="391"/>
      <c r="B601" s="391"/>
      <c r="D601" s="1779"/>
      <c r="E601" s="1779"/>
      <c r="F601" s="1779"/>
      <c r="I601" s="391"/>
    </row>
    <row r="602" spans="1:9">
      <c r="A602" s="391"/>
      <c r="B602" s="391"/>
      <c r="D602" s="400"/>
      <c r="I602" s="391"/>
    </row>
    <row r="603" spans="1:9">
      <c r="A603" s="391"/>
      <c r="B603" s="386" t="s">
        <v>316</v>
      </c>
      <c r="D603" s="1779" t="s">
        <v>477</v>
      </c>
      <c r="E603" s="1779"/>
      <c r="F603" s="1779"/>
      <c r="I603" s="391"/>
    </row>
    <row r="604" spans="1:9">
      <c r="A604" s="391"/>
      <c r="B604" s="391"/>
      <c r="D604" s="1779"/>
      <c r="E604" s="1779"/>
      <c r="F604" s="1779"/>
      <c r="I604" s="391"/>
    </row>
    <row r="605" spans="1:9" ht="14.25">
      <c r="A605" s="385"/>
      <c r="B605" s="385"/>
      <c r="D605" s="400"/>
      <c r="I605" s="391"/>
    </row>
    <row r="606" spans="1:9">
      <c r="A606" s="1764" t="s">
        <v>478</v>
      </c>
      <c r="B606" s="1764"/>
      <c r="C606" s="1764"/>
      <c r="D606" s="1764"/>
      <c r="E606" s="1764"/>
      <c r="F606" s="1764"/>
      <c r="G606" s="1764"/>
      <c r="H606" s="914"/>
      <c r="I606" s="1036"/>
    </row>
    <row r="607" spans="1:9">
      <c r="I607" s="391"/>
    </row>
    <row r="608" spans="1:9">
      <c r="D608" s="1766" t="s">
        <v>479</v>
      </c>
      <c r="E608" s="1766"/>
      <c r="F608" s="1766"/>
      <c r="I608" s="391"/>
    </row>
    <row r="609" spans="1:9">
      <c r="D609" s="1747" t="s">
        <v>480</v>
      </c>
      <c r="E609" s="1747"/>
      <c r="F609" s="1747"/>
      <c r="I609" s="391"/>
    </row>
    <row r="610" spans="1:9">
      <c r="D610" s="346"/>
      <c r="I610" s="391"/>
    </row>
    <row r="611" spans="1:9" ht="14.25" customHeight="1">
      <c r="A611" s="385"/>
      <c r="B611" s="386" t="s">
        <v>311</v>
      </c>
      <c r="D611" s="1780" t="s">
        <v>481</v>
      </c>
      <c r="E611" s="1780"/>
      <c r="F611" s="1780"/>
      <c r="I611" s="391"/>
    </row>
    <row r="612" spans="1:9">
      <c r="D612" s="1780"/>
      <c r="E612" s="1780"/>
      <c r="F612" s="1780"/>
      <c r="I612" s="391"/>
    </row>
    <row r="613" spans="1:9">
      <c r="D613" s="288"/>
      <c r="E613" s="922" t="s">
        <v>482</v>
      </c>
      <c r="F613" s="288"/>
      <c r="I613" s="391"/>
    </row>
    <row r="614" spans="1:9">
      <c r="I614" s="391"/>
    </row>
    <row r="615" spans="1:9">
      <c r="A615" s="1764" t="s">
        <v>483</v>
      </c>
      <c r="B615" s="1764"/>
      <c r="C615" s="1764"/>
      <c r="D615" s="1764"/>
      <c r="E615" s="1764"/>
      <c r="F615" s="1764"/>
      <c r="G615" s="1764"/>
      <c r="H615" s="914"/>
      <c r="I615" s="1036"/>
    </row>
    <row r="616" spans="1:9">
      <c r="A616" s="348"/>
      <c r="B616" s="348"/>
      <c r="I616" s="391"/>
    </row>
    <row r="617" spans="1:9">
      <c r="A617" s="383"/>
      <c r="B617" s="383"/>
      <c r="C617" s="383"/>
      <c r="D617" s="1775" t="s">
        <v>484</v>
      </c>
      <c r="E617" s="1775"/>
      <c r="F617" s="1775"/>
      <c r="I617" s="391"/>
    </row>
    <row r="618" spans="1:9">
      <c r="A618" s="383"/>
      <c r="B618" s="383"/>
      <c r="C618" s="383"/>
      <c r="D618" s="1775"/>
      <c r="E618" s="1775"/>
      <c r="F618" s="1775"/>
      <c r="I618" s="391"/>
    </row>
    <row r="619" spans="1:9">
      <c r="C619" s="384"/>
      <c r="D619" s="1747" t="s">
        <v>485</v>
      </c>
      <c r="E619" s="1747"/>
      <c r="F619" s="1747"/>
      <c r="I619" s="391"/>
    </row>
    <row r="620" spans="1:9">
      <c r="C620" s="384"/>
      <c r="D620" s="346"/>
      <c r="E620" s="346"/>
      <c r="F620" s="346"/>
      <c r="I620" s="391"/>
    </row>
    <row r="621" spans="1:9">
      <c r="B621" s="386" t="s">
        <v>311</v>
      </c>
      <c r="C621" s="384"/>
      <c r="D621" s="1746" t="s">
        <v>486</v>
      </c>
      <c r="E621" s="1746"/>
      <c r="F621" s="1746"/>
      <c r="I621" s="391"/>
    </row>
    <row r="622" spans="1:9">
      <c r="C622" s="384"/>
      <c r="D622" s="346"/>
      <c r="E622" s="346"/>
      <c r="F622" s="346"/>
      <c r="I622" s="391"/>
    </row>
    <row r="623" spans="1:9" ht="12.75" customHeight="1">
      <c r="A623" s="391"/>
      <c r="B623" s="386" t="s">
        <v>311</v>
      </c>
      <c r="D623" s="1762" t="s">
        <v>487</v>
      </c>
      <c r="E623" s="1762"/>
      <c r="F623" s="1762"/>
      <c r="I623" s="391"/>
    </row>
    <row r="624" spans="1:9">
      <c r="D624" s="1762"/>
      <c r="E624" s="1762"/>
      <c r="F624" s="1762"/>
      <c r="I624" s="391"/>
    </row>
    <row r="625" spans="1:9">
      <c r="I625" s="391"/>
    </row>
    <row r="626" spans="1:9">
      <c r="B626" s="386" t="s">
        <v>311</v>
      </c>
      <c r="D626" s="1762" t="s">
        <v>488</v>
      </c>
      <c r="E626" s="1762"/>
      <c r="F626" s="1762"/>
      <c r="I626" s="391"/>
    </row>
    <row r="627" spans="1:9">
      <c r="C627" s="401"/>
      <c r="D627" s="1762"/>
      <c r="E627" s="1762"/>
      <c r="F627" s="1762"/>
      <c r="I627" s="391"/>
    </row>
    <row r="628" spans="1:9">
      <c r="C628" s="401"/>
      <c r="I628" s="391"/>
    </row>
    <row r="629" spans="1:9">
      <c r="B629" s="386" t="s">
        <v>316</v>
      </c>
      <c r="C629" s="401"/>
      <c r="D629" s="1762" t="s">
        <v>489</v>
      </c>
      <c r="E629" s="1762"/>
      <c r="F629" s="1762"/>
      <c r="I629" s="391"/>
    </row>
    <row r="630" spans="1:9">
      <c r="C630" s="401"/>
      <c r="D630" s="1762"/>
      <c r="E630" s="1762"/>
      <c r="F630" s="1762"/>
      <c r="I630" s="401"/>
    </row>
    <row r="631" spans="1:9">
      <c r="C631" s="401"/>
      <c r="I631" s="391"/>
    </row>
    <row r="632" spans="1:9">
      <c r="B632" s="386" t="s">
        <v>316</v>
      </c>
      <c r="C632" s="401"/>
      <c r="D632" s="1746" t="s">
        <v>490</v>
      </c>
      <c r="E632" s="1746"/>
      <c r="F632" s="1746"/>
      <c r="I632" s="391"/>
    </row>
    <row r="633" spans="1:9">
      <c r="C633" s="401"/>
      <c r="I633" s="391"/>
    </row>
    <row r="634" spans="1:9">
      <c r="A634" s="1764" t="s">
        <v>491</v>
      </c>
      <c r="B634" s="1764"/>
      <c r="C634" s="1764"/>
      <c r="D634" s="1764"/>
      <c r="E634" s="1764"/>
      <c r="F634" s="1764"/>
      <c r="G634" s="1764"/>
      <c r="H634" s="914"/>
      <c r="I634" s="1036"/>
    </row>
    <row r="635" spans="1:9">
      <c r="A635" s="383"/>
      <c r="B635" s="383"/>
      <c r="C635" s="383"/>
      <c r="I635" s="391"/>
    </row>
    <row r="636" spans="1:9">
      <c r="C636" s="391"/>
      <c r="D636" s="1766" t="s">
        <v>492</v>
      </c>
      <c r="E636" s="1766"/>
      <c r="F636" s="1766"/>
      <c r="I636" s="391"/>
    </row>
    <row r="637" spans="1:9">
      <c r="A637" s="391"/>
      <c r="B637" s="391"/>
      <c r="D637" s="307"/>
      <c r="I637" s="391"/>
    </row>
    <row r="638" spans="1:9" ht="14.25" customHeight="1">
      <c r="A638" s="385"/>
      <c r="B638" s="386" t="s">
        <v>311</v>
      </c>
      <c r="D638" s="1780" t="s">
        <v>493</v>
      </c>
      <c r="E638" s="1780"/>
      <c r="F638" s="1780"/>
      <c r="I638" s="391"/>
    </row>
    <row r="639" spans="1:9">
      <c r="D639" s="1780"/>
      <c r="E639" s="1780"/>
      <c r="F639" s="1780"/>
      <c r="I639" s="391"/>
    </row>
    <row r="640" spans="1:9">
      <c r="D640" s="288"/>
      <c r="E640" s="922" t="s">
        <v>494</v>
      </c>
      <c r="F640" s="288"/>
      <c r="I640" s="391"/>
    </row>
    <row r="641" spans="1:9">
      <c r="D641" s="1763" t="s">
        <v>495</v>
      </c>
      <c r="E641" s="1763"/>
      <c r="F641" s="1763"/>
      <c r="I641" s="391"/>
    </row>
    <row r="642" spans="1:9">
      <c r="D642" s="1763"/>
      <c r="E642" s="1763"/>
      <c r="F642" s="1763"/>
      <c r="I642" s="391"/>
    </row>
    <row r="643" spans="1:9">
      <c r="D643" s="1763"/>
      <c r="E643" s="1763"/>
      <c r="F643" s="1763"/>
      <c r="I643" s="391"/>
    </row>
    <row r="644" spans="1:9">
      <c r="D644" s="347"/>
      <c r="E644" s="347"/>
      <c r="F644" s="347"/>
      <c r="I644" s="391"/>
    </row>
    <row r="645" spans="1:9" ht="14.25">
      <c r="A645" s="385"/>
      <c r="B645" s="386" t="s">
        <v>311</v>
      </c>
      <c r="D645" s="1763" t="s">
        <v>496</v>
      </c>
      <c r="E645" s="1763"/>
      <c r="F645" s="1763"/>
      <c r="I645" s="391"/>
    </row>
    <row r="646" spans="1:9">
      <c r="A646" s="388"/>
      <c r="B646" s="388"/>
      <c r="C646" s="388"/>
      <c r="D646" s="1763"/>
      <c r="E646" s="1763"/>
      <c r="F646" s="1763"/>
      <c r="I646" s="391"/>
    </row>
    <row r="647" spans="1:9">
      <c r="A647" s="388"/>
      <c r="B647" s="388"/>
      <c r="C647" s="388"/>
      <c r="D647" s="348"/>
      <c r="E647" s="348"/>
      <c r="F647" s="348"/>
      <c r="I647" s="391"/>
    </row>
    <row r="648" spans="1:9" ht="14.25">
      <c r="A648" s="385"/>
      <c r="B648" s="386" t="s">
        <v>316</v>
      </c>
      <c r="C648" s="388"/>
      <c r="D648" s="1763" t="s">
        <v>497</v>
      </c>
      <c r="E648" s="1763"/>
      <c r="F648" s="1763"/>
      <c r="I648" s="391"/>
    </row>
    <row r="649" spans="1:9" ht="14.25">
      <c r="A649" s="385"/>
      <c r="B649" s="385"/>
      <c r="C649" s="388"/>
      <c r="D649" s="1763"/>
      <c r="E649" s="1763"/>
      <c r="F649" s="1763"/>
      <c r="I649" s="391"/>
    </row>
    <row r="650" spans="1:9" ht="14.25">
      <c r="A650" s="385"/>
      <c r="B650" s="385"/>
      <c r="C650" s="388"/>
      <c r="D650" s="1763"/>
      <c r="E650" s="1763"/>
      <c r="F650" s="1763"/>
      <c r="I650" s="391"/>
    </row>
    <row r="651" spans="1:9">
      <c r="A651" s="388"/>
      <c r="B651" s="386" t="s">
        <v>316</v>
      </c>
      <c r="C651" s="388"/>
      <c r="D651" s="1765" t="s">
        <v>498</v>
      </c>
      <c r="E651" s="1765"/>
      <c r="F651" s="1765"/>
      <c r="I651" s="391"/>
    </row>
    <row r="652" spans="1:9">
      <c r="A652" s="388"/>
      <c r="B652" s="388"/>
      <c r="C652" s="388"/>
      <c r="D652" s="348"/>
      <c r="E652" s="348"/>
      <c r="F652" s="348"/>
      <c r="I652" s="391"/>
    </row>
    <row r="653" spans="1:9">
      <c r="A653" s="1764" t="s">
        <v>499</v>
      </c>
      <c r="B653" s="1764"/>
      <c r="C653" s="1764"/>
      <c r="D653" s="1764"/>
      <c r="E653" s="1764"/>
      <c r="F653" s="1764"/>
      <c r="G653" s="1764"/>
      <c r="H653" s="914"/>
      <c r="I653" s="1036"/>
    </row>
    <row r="654" spans="1:9">
      <c r="A654" s="348"/>
      <c r="B654" s="348"/>
      <c r="C654" s="388"/>
      <c r="D654" s="348"/>
      <c r="E654" s="348"/>
      <c r="F654" s="348"/>
      <c r="I654" s="391"/>
    </row>
    <row r="655" spans="1:9">
      <c r="C655" s="383"/>
      <c r="D655" s="1766" t="s">
        <v>500</v>
      </c>
      <c r="E655" s="1766"/>
      <c r="F655" s="1766"/>
      <c r="I655" s="391"/>
    </row>
    <row r="656" spans="1:9">
      <c r="A656" s="384"/>
      <c r="B656" s="384"/>
      <c r="C656" s="384"/>
      <c r="D656" s="1765" t="s">
        <v>501</v>
      </c>
      <c r="E656" s="1765"/>
      <c r="F656" s="1765"/>
      <c r="I656" s="391"/>
    </row>
    <row r="657" spans="1:9">
      <c r="A657" s="384"/>
      <c r="B657" s="384"/>
      <c r="C657" s="384"/>
      <c r="D657" s="348"/>
      <c r="E657" s="348"/>
      <c r="F657" s="348"/>
      <c r="I657" s="391"/>
    </row>
    <row r="658" spans="1:9" ht="12.75" customHeight="1">
      <c r="B658" s="386" t="s">
        <v>311</v>
      </c>
      <c r="C658" s="388"/>
      <c r="D658" s="1763" t="s">
        <v>502</v>
      </c>
      <c r="E658" s="1763"/>
      <c r="F658" s="1763"/>
      <c r="I658" s="391"/>
    </row>
    <row r="659" spans="1:9">
      <c r="D659" s="1763"/>
      <c r="E659" s="1763"/>
      <c r="F659" s="1763"/>
      <c r="I659" s="391"/>
    </row>
    <row r="660" spans="1:9">
      <c r="D660" s="1763"/>
      <c r="E660" s="1763"/>
      <c r="F660" s="1763"/>
      <c r="I660" s="391"/>
    </row>
    <row r="661" spans="1:9">
      <c r="D661" s="1763"/>
      <c r="E661" s="1763"/>
      <c r="F661" s="1763"/>
      <c r="I661" s="391"/>
    </row>
    <row r="662" spans="1:9" ht="14.45" customHeight="1">
      <c r="A662" s="385"/>
      <c r="B662" s="385"/>
      <c r="C662" s="388"/>
      <c r="D662" s="288"/>
      <c r="E662" s="288"/>
      <c r="F662" s="288"/>
      <c r="I662" s="391"/>
    </row>
    <row r="663" spans="1:9" ht="12.75" customHeight="1">
      <c r="A663" s="384"/>
      <c r="B663" s="386" t="s">
        <v>311</v>
      </c>
      <c r="C663" s="388"/>
      <c r="D663" s="1763" t="s">
        <v>503</v>
      </c>
      <c r="E663" s="1763"/>
      <c r="F663" s="1763"/>
      <c r="I663" s="391"/>
    </row>
    <row r="664" spans="1:9" ht="14.25">
      <c r="A664" s="384"/>
      <c r="B664" s="385"/>
      <c r="C664" s="388"/>
      <c r="D664" s="1763"/>
      <c r="E664" s="1763"/>
      <c r="F664" s="1763"/>
      <c r="I664" s="391"/>
    </row>
    <row r="665" spans="1:9" ht="14.25">
      <c r="A665" s="384"/>
      <c r="B665" s="385"/>
      <c r="C665" s="388"/>
      <c r="D665" s="1763"/>
      <c r="E665" s="1763"/>
      <c r="F665" s="1763"/>
      <c r="I665" s="391"/>
    </row>
    <row r="666" spans="1:9" ht="14.25">
      <c r="A666" s="384"/>
      <c r="B666" s="385"/>
      <c r="C666" s="388"/>
      <c r="D666" s="1763"/>
      <c r="E666" s="1763"/>
      <c r="F666" s="1763"/>
      <c r="I666" s="391"/>
    </row>
    <row r="667" spans="1:9" ht="14.25">
      <c r="A667" s="384"/>
      <c r="B667" s="385"/>
      <c r="C667" s="388"/>
      <c r="D667" s="1763"/>
      <c r="E667" s="1763"/>
      <c r="F667" s="1763"/>
      <c r="I667" s="391"/>
    </row>
    <row r="668" spans="1:9" ht="14.25" customHeight="1">
      <c r="A668" s="384"/>
      <c r="B668" s="385"/>
      <c r="C668" s="388"/>
      <c r="F668" s="289"/>
      <c r="I668" s="391"/>
    </row>
    <row r="669" spans="1:9" ht="12.75" customHeight="1">
      <c r="A669" s="384"/>
      <c r="B669" s="386" t="s">
        <v>311</v>
      </c>
      <c r="C669" s="388"/>
      <c r="D669" s="1763" t="s">
        <v>504</v>
      </c>
      <c r="E669" s="1763"/>
      <c r="F669" s="1763"/>
      <c r="I669" s="391"/>
    </row>
    <row r="670" spans="1:9" ht="14.25">
      <c r="A670" s="384"/>
      <c r="B670" s="385"/>
      <c r="C670" s="388"/>
      <c r="D670" s="1763"/>
      <c r="E670" s="1763"/>
      <c r="F670" s="1763"/>
      <c r="I670" s="391"/>
    </row>
    <row r="671" spans="1:9" ht="14.25">
      <c r="A671" s="385"/>
      <c r="B671" s="385"/>
      <c r="C671" s="388"/>
      <c r="D671" s="1763"/>
      <c r="E671" s="1763"/>
      <c r="F671" s="1763"/>
      <c r="I671" s="391"/>
    </row>
    <row r="672" spans="1:9" ht="14.25">
      <c r="A672" s="385"/>
      <c r="B672" s="385"/>
      <c r="C672" s="388"/>
      <c r="D672" s="1763"/>
      <c r="E672" s="1763"/>
      <c r="F672" s="1763"/>
      <c r="I672" s="391"/>
    </row>
    <row r="673" spans="1:11" ht="14.25">
      <c r="A673" s="385"/>
      <c r="B673" s="385"/>
      <c r="C673" s="388"/>
      <c r="D673" s="347"/>
      <c r="E673" s="347"/>
      <c r="F673" s="347"/>
      <c r="I673" s="391"/>
    </row>
    <row r="674" spans="1:11" ht="12.75" customHeight="1">
      <c r="A674" s="384"/>
      <c r="B674" s="386" t="s">
        <v>316</v>
      </c>
      <c r="C674" s="388"/>
      <c r="D674" s="1763" t="s">
        <v>505</v>
      </c>
      <c r="E674" s="1763"/>
      <c r="F674" s="1763"/>
      <c r="I674" s="391"/>
    </row>
    <row r="675" spans="1:11" ht="12.75" customHeight="1">
      <c r="A675" s="384"/>
      <c r="B675" s="385"/>
      <c r="C675" s="388"/>
      <c r="D675" s="1763"/>
      <c r="E675" s="1763"/>
      <c r="F675" s="1763"/>
      <c r="I675" s="391"/>
    </row>
    <row r="676" spans="1:11" ht="12.75" customHeight="1">
      <c r="A676" s="384"/>
      <c r="B676" s="385"/>
      <c r="C676" s="388"/>
      <c r="D676" s="1763"/>
      <c r="E676" s="1763"/>
      <c r="F676" s="1763"/>
      <c r="I676" s="391"/>
    </row>
    <row r="677" spans="1:11" ht="12.75" customHeight="1">
      <c r="A677" s="384"/>
      <c r="B677" s="385"/>
      <c r="C677" s="388"/>
      <c r="D677" s="1763"/>
      <c r="E677" s="1763"/>
      <c r="F677" s="1763"/>
      <c r="I677" s="391"/>
    </row>
    <row r="678" spans="1:11" ht="12.75" customHeight="1">
      <c r="A678" s="384"/>
      <c r="B678" s="385"/>
      <c r="C678" s="388"/>
      <c r="D678" s="1763"/>
      <c r="E678" s="1763"/>
      <c r="F678" s="1763"/>
      <c r="I678" s="391"/>
    </row>
    <row r="679" spans="1:11" ht="12.75" customHeight="1">
      <c r="A679" s="384"/>
      <c r="B679" s="385"/>
      <c r="C679" s="388"/>
      <c r="D679" s="1763"/>
      <c r="E679" s="1763"/>
      <c r="F679" s="1763"/>
      <c r="I679" s="391"/>
    </row>
    <row r="680" spans="1:11" ht="12.75" customHeight="1">
      <c r="A680" s="384"/>
      <c r="B680" s="385"/>
      <c r="C680" s="388"/>
      <c r="D680" s="1763"/>
      <c r="E680" s="1763"/>
      <c r="F680" s="1763"/>
      <c r="I680" s="391"/>
    </row>
    <row r="681" spans="1:11" ht="12.75" customHeight="1">
      <c r="A681" s="384"/>
      <c r="B681" s="385"/>
      <c r="C681" s="388"/>
      <c r="D681" s="1763"/>
      <c r="E681" s="1763"/>
      <c r="F681" s="1763"/>
      <c r="I681" s="391"/>
    </row>
    <row r="682" spans="1:11" ht="12.75" customHeight="1">
      <c r="A682" s="384"/>
      <c r="B682" s="385"/>
      <c r="C682" s="388"/>
      <c r="D682" s="1763"/>
      <c r="E682" s="1763"/>
      <c r="F682" s="1763"/>
      <c r="I682" s="391"/>
    </row>
    <row r="683" spans="1:11">
      <c r="A683" s="388"/>
      <c r="B683" s="388"/>
      <c r="C683" s="388"/>
      <c r="D683" s="348"/>
      <c r="E683" s="348"/>
      <c r="F683" s="348"/>
      <c r="I683" s="391"/>
    </row>
    <row r="684" spans="1:11">
      <c r="A684" s="1764" t="s">
        <v>506</v>
      </c>
      <c r="B684" s="1764"/>
      <c r="C684" s="1764"/>
      <c r="D684" s="1764"/>
      <c r="E684" s="1764"/>
      <c r="F684" s="1764"/>
      <c r="G684" s="1764"/>
      <c r="H684" s="916"/>
      <c r="I684" s="1040"/>
      <c r="J684" s="402"/>
      <c r="K684" s="402"/>
    </row>
    <row r="685" spans="1:11">
      <c r="A685" s="350"/>
      <c r="B685" s="350"/>
      <c r="C685" s="350"/>
      <c r="D685" s="350"/>
      <c r="E685" s="350"/>
      <c r="F685" s="350"/>
      <c r="G685" s="350"/>
      <c r="H685" s="402"/>
      <c r="I685" s="384"/>
      <c r="J685" s="402"/>
      <c r="K685" s="402"/>
    </row>
    <row r="686" spans="1:11">
      <c r="C686" s="383"/>
      <c r="D686" s="1766" t="s">
        <v>507</v>
      </c>
      <c r="E686" s="1766"/>
      <c r="F686" s="1766"/>
      <c r="H686" s="402"/>
      <c r="I686" s="384"/>
      <c r="J686" s="402"/>
      <c r="K686" s="402"/>
    </row>
    <row r="687" spans="1:11">
      <c r="A687" s="383"/>
      <c r="B687" s="383"/>
      <c r="C687" s="383"/>
      <c r="D687" s="1766" t="s">
        <v>508</v>
      </c>
      <c r="E687" s="1766"/>
      <c r="F687" s="1766"/>
      <c r="H687" s="402"/>
      <c r="I687" s="384"/>
      <c r="J687" s="402"/>
      <c r="K687" s="402"/>
    </row>
    <row r="688" spans="1:11">
      <c r="A688" s="384"/>
      <c r="B688" s="384"/>
      <c r="C688" s="384"/>
      <c r="D688" s="1765" t="s">
        <v>509</v>
      </c>
      <c r="E688" s="1765"/>
      <c r="F688" s="1765"/>
      <c r="H688" s="402"/>
      <c r="I688" s="384"/>
      <c r="J688" s="402"/>
      <c r="K688" s="402"/>
    </row>
    <row r="689" spans="1:11">
      <c r="A689" s="384"/>
      <c r="B689" s="384"/>
      <c r="C689" s="384"/>
      <c r="H689" s="402"/>
      <c r="I689" s="384"/>
      <c r="J689" s="402"/>
      <c r="K689" s="402"/>
    </row>
    <row r="690" spans="1:11" ht="14.25">
      <c r="A690" s="385"/>
      <c r="B690" s="386" t="s">
        <v>311</v>
      </c>
      <c r="C690" s="384"/>
      <c r="D690" s="1765" t="s">
        <v>510</v>
      </c>
      <c r="E690" s="1765"/>
      <c r="F690" s="1765"/>
      <c r="H690" s="402"/>
      <c r="I690" s="384"/>
      <c r="J690" s="402"/>
      <c r="K690" s="402"/>
    </row>
    <row r="691" spans="1:11">
      <c r="A691" s="384"/>
      <c r="B691" s="384"/>
      <c r="C691" s="384"/>
      <c r="D691" s="1765" t="s">
        <v>511</v>
      </c>
      <c r="E691" s="1765"/>
      <c r="F691" s="1765"/>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763" t="s">
        <v>514</v>
      </c>
      <c r="E695" s="1763"/>
      <c r="F695" s="1763"/>
      <c r="H695" s="402"/>
      <c r="I695" s="384"/>
      <c r="J695" s="402"/>
      <c r="K695" s="402"/>
    </row>
    <row r="696" spans="1:11">
      <c r="A696" s="391"/>
      <c r="B696" s="391"/>
      <c r="C696" s="384"/>
      <c r="D696" s="1763"/>
      <c r="E696" s="1763"/>
      <c r="F696" s="1763"/>
      <c r="H696" s="402"/>
      <c r="I696" s="384"/>
      <c r="J696" s="402"/>
      <c r="K696" s="402"/>
    </row>
    <row r="697" spans="1:11">
      <c r="A697" s="384"/>
      <c r="B697" s="384"/>
      <c r="C697" s="384"/>
      <c r="D697" s="1763"/>
      <c r="E697" s="1763"/>
      <c r="F697" s="1763"/>
      <c r="H697" s="402"/>
      <c r="I697" s="384"/>
      <c r="J697" s="402"/>
      <c r="K697" s="402"/>
    </row>
    <row r="698" spans="1:11">
      <c r="A698" s="384"/>
      <c r="B698" s="384"/>
      <c r="C698" s="384"/>
      <c r="H698" s="402"/>
      <c r="J698" s="402"/>
      <c r="K698" s="402"/>
    </row>
    <row r="699" spans="1:11" ht="14.25">
      <c r="A699" s="385"/>
      <c r="B699" s="386" t="s">
        <v>311</v>
      </c>
      <c r="C699" s="384"/>
      <c r="D699" s="1765" t="s">
        <v>515</v>
      </c>
      <c r="E699" s="1765"/>
      <c r="F699" s="1765"/>
      <c r="H699" s="402"/>
      <c r="I699" s="384"/>
      <c r="J699" s="402"/>
      <c r="K699" s="402"/>
    </row>
    <row r="700" spans="1:11" ht="14.25">
      <c r="A700" s="385"/>
      <c r="B700" s="385"/>
      <c r="C700" s="384"/>
      <c r="D700" s="1765" t="s">
        <v>511</v>
      </c>
      <c r="E700" s="1765"/>
      <c r="F700" s="1765"/>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311</v>
      </c>
      <c r="C703" s="384"/>
      <c r="D703" s="1765" t="s">
        <v>517</v>
      </c>
      <c r="E703" s="1765"/>
      <c r="F703" s="1765"/>
      <c r="H703" s="402"/>
      <c r="I703" s="384"/>
      <c r="J703" s="402"/>
      <c r="K703" s="402"/>
    </row>
    <row r="704" spans="1:11" ht="14.25">
      <c r="A704" s="385"/>
      <c r="B704" s="385"/>
      <c r="C704" s="384"/>
      <c r="D704" s="1765" t="s">
        <v>511</v>
      </c>
      <c r="E704" s="1765"/>
      <c r="F704" s="1765"/>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763" t="s">
        <v>519</v>
      </c>
      <c r="E707" s="1763"/>
      <c r="F707" s="1763"/>
      <c r="H707" s="402"/>
      <c r="I707" s="384"/>
      <c r="J707" s="402"/>
      <c r="K707" s="402"/>
    </row>
    <row r="708" spans="1:11">
      <c r="A708" s="384"/>
      <c r="B708" s="384"/>
      <c r="C708" s="384"/>
      <c r="D708" s="1763"/>
      <c r="E708" s="1763"/>
      <c r="F708" s="1763"/>
      <c r="H708" s="402"/>
      <c r="I708" s="384"/>
      <c r="J708" s="402"/>
      <c r="K708" s="402"/>
    </row>
    <row r="709" spans="1:11">
      <c r="A709" s="384"/>
      <c r="B709" s="384"/>
      <c r="C709" s="384"/>
      <c r="D709" s="1763"/>
      <c r="E709" s="1763"/>
      <c r="F709" s="1763"/>
      <c r="H709" s="402"/>
      <c r="I709" s="384"/>
      <c r="J709" s="402"/>
      <c r="K709" s="402"/>
    </row>
    <row r="710" spans="1:11">
      <c r="A710" s="384"/>
      <c r="B710" s="384"/>
      <c r="C710" s="384"/>
      <c r="D710" s="1763"/>
      <c r="E710" s="1763"/>
      <c r="F710" s="1763"/>
      <c r="H710" s="402"/>
      <c r="I710" s="384"/>
      <c r="J710" s="402"/>
      <c r="K710" s="402"/>
    </row>
    <row r="711" spans="1:11">
      <c r="A711" s="384"/>
      <c r="B711" s="384"/>
      <c r="C711" s="384"/>
      <c r="D711" s="1763"/>
      <c r="E711" s="1763"/>
      <c r="F711" s="1763"/>
      <c r="H711" s="402"/>
      <c r="I711" s="384"/>
      <c r="J711" s="402"/>
      <c r="K711" s="402"/>
    </row>
    <row r="712" spans="1:11">
      <c r="A712" s="384"/>
      <c r="B712" s="384"/>
      <c r="C712" s="384"/>
      <c r="D712" s="1763"/>
      <c r="E712" s="1763"/>
      <c r="F712" s="1763"/>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763" t="s">
        <v>520</v>
      </c>
      <c r="E714" s="1763"/>
      <c r="F714" s="1763"/>
      <c r="H714" s="402"/>
      <c r="I714" s="384"/>
      <c r="J714" s="402"/>
      <c r="K714" s="402"/>
    </row>
    <row r="715" spans="1:11">
      <c r="A715" s="384"/>
      <c r="B715" s="384"/>
      <c r="C715" s="384"/>
      <c r="D715" s="1763"/>
      <c r="E715" s="1763"/>
      <c r="F715" s="1763"/>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763" t="s">
        <v>521</v>
      </c>
      <c r="E717" s="1763"/>
      <c r="F717" s="1763"/>
      <c r="H717" s="402"/>
      <c r="I717" s="384"/>
      <c r="J717" s="402"/>
      <c r="K717" s="402"/>
    </row>
    <row r="718" spans="1:11">
      <c r="A718" s="384"/>
      <c r="B718" s="384"/>
      <c r="C718" s="384"/>
      <c r="D718" s="1763"/>
      <c r="E718" s="1763"/>
      <c r="F718" s="1763"/>
      <c r="H718" s="402"/>
      <c r="I718" s="384"/>
      <c r="J718" s="402"/>
      <c r="K718" s="402"/>
    </row>
    <row r="719" spans="1:11">
      <c r="A719" s="384"/>
      <c r="B719" s="384"/>
      <c r="C719" s="384"/>
      <c r="D719" s="1763"/>
      <c r="E719" s="1763"/>
      <c r="F719" s="1763"/>
      <c r="H719" s="402"/>
      <c r="I719" s="384"/>
      <c r="J719" s="402"/>
      <c r="K719" s="402"/>
    </row>
    <row r="720" spans="1:11" ht="15" customHeight="1">
      <c r="A720" s="384"/>
      <c r="B720" s="384"/>
      <c r="C720" s="384"/>
      <c r="D720" s="1763"/>
      <c r="E720" s="1763"/>
      <c r="F720" s="1763"/>
      <c r="H720" s="402"/>
      <c r="I720" s="384"/>
      <c r="J720" s="402"/>
      <c r="K720" s="402"/>
    </row>
    <row r="721" spans="1:11" ht="15" customHeight="1">
      <c r="A721" s="384"/>
      <c r="B721" s="384"/>
      <c r="C721" s="384"/>
      <c r="D721" s="1763"/>
      <c r="E721" s="1763"/>
      <c r="F721" s="1763"/>
      <c r="H721" s="402"/>
      <c r="I721" s="384"/>
      <c r="J721" s="402"/>
      <c r="K721" s="402"/>
    </row>
    <row r="722" spans="1:11">
      <c r="A722" s="384"/>
      <c r="B722" s="384"/>
      <c r="C722" s="384"/>
      <c r="D722" s="1763"/>
      <c r="E722" s="1763"/>
      <c r="F722" s="1763"/>
      <c r="H722" s="402"/>
      <c r="I722" s="384"/>
      <c r="J722" s="402"/>
      <c r="K722" s="402"/>
    </row>
    <row r="723" spans="1:11">
      <c r="A723" s="384"/>
      <c r="B723" s="384"/>
      <c r="C723" s="384"/>
      <c r="D723" s="1763"/>
      <c r="E723" s="1763"/>
      <c r="F723" s="1763"/>
      <c r="H723" s="402"/>
      <c r="I723" s="384"/>
      <c r="J723" s="402"/>
      <c r="K723" s="402"/>
    </row>
    <row r="724" spans="1:11">
      <c r="A724" s="384"/>
      <c r="B724" s="384"/>
      <c r="C724" s="384"/>
      <c r="D724" s="1763"/>
      <c r="E724" s="1763"/>
      <c r="F724" s="1763"/>
      <c r="H724" s="402"/>
      <c r="I724" s="384"/>
      <c r="J724" s="402"/>
      <c r="K724" s="402"/>
    </row>
    <row r="725" spans="1:11" ht="15" customHeight="1">
      <c r="A725" s="384"/>
      <c r="B725" s="384"/>
      <c r="C725" s="384"/>
      <c r="D725" s="1763"/>
      <c r="E725" s="1763"/>
      <c r="F725" s="1763"/>
      <c r="H725" s="402"/>
      <c r="I725" s="384"/>
      <c r="J725" s="402"/>
      <c r="K725" s="402"/>
    </row>
    <row r="726" spans="1:11">
      <c r="A726" s="384"/>
      <c r="B726" s="384"/>
      <c r="C726" s="384"/>
      <c r="D726" s="1763"/>
      <c r="E726" s="1763"/>
      <c r="F726" s="1763"/>
      <c r="H726" s="402"/>
      <c r="I726" s="384"/>
      <c r="J726" s="402"/>
      <c r="K726" s="402"/>
    </row>
    <row r="727" spans="1:11">
      <c r="A727" s="384"/>
      <c r="B727" s="384"/>
      <c r="C727" s="384"/>
      <c r="D727" s="1763"/>
      <c r="E727" s="1763"/>
      <c r="F727" s="1763"/>
      <c r="H727" s="402"/>
      <c r="I727" s="384"/>
      <c r="J727" s="402"/>
      <c r="K727" s="402"/>
    </row>
    <row r="728" spans="1:11">
      <c r="A728" s="384"/>
      <c r="B728" s="384"/>
      <c r="C728" s="384"/>
      <c r="D728" s="1763"/>
      <c r="E728" s="1763"/>
      <c r="F728" s="1763"/>
      <c r="H728" s="402"/>
      <c r="I728" s="384"/>
      <c r="J728" s="402"/>
      <c r="K728" s="402"/>
    </row>
    <row r="729" spans="1:11">
      <c r="A729" s="384"/>
      <c r="B729" s="384"/>
      <c r="C729" s="384"/>
      <c r="D729" s="1763"/>
      <c r="E729" s="1763"/>
      <c r="F729" s="1763"/>
      <c r="H729" s="402"/>
      <c r="I729" s="384"/>
      <c r="J729" s="402"/>
      <c r="K729" s="402"/>
    </row>
    <row r="730" spans="1:11">
      <c r="A730" s="384"/>
      <c r="B730" s="386" t="s">
        <v>311</v>
      </c>
      <c r="C730" s="384"/>
      <c r="D730" s="1763" t="s">
        <v>522</v>
      </c>
      <c r="E730" s="1763"/>
      <c r="F730" s="1763"/>
      <c r="H730" s="402"/>
      <c r="I730" s="384"/>
      <c r="J730" s="402"/>
      <c r="K730" s="402"/>
    </row>
    <row r="731" spans="1:11">
      <c r="A731" s="384"/>
      <c r="B731" s="384"/>
      <c r="C731" s="384"/>
      <c r="D731" s="1763"/>
      <c r="E731" s="1763"/>
      <c r="F731" s="1763"/>
      <c r="H731" s="402"/>
      <c r="I731" s="384"/>
      <c r="J731" s="402"/>
      <c r="K731" s="402"/>
    </row>
    <row r="732" spans="1:11">
      <c r="A732" s="384"/>
      <c r="B732" s="384"/>
      <c r="C732" s="384"/>
      <c r="D732" s="1763"/>
      <c r="E732" s="1763"/>
      <c r="F732" s="1763"/>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63" t="s">
        <v>523</v>
      </c>
      <c r="E734" s="1763"/>
      <c r="F734" s="1763"/>
      <c r="H734" s="402"/>
      <c r="I734" s="384"/>
      <c r="J734" s="402"/>
      <c r="K734" s="402"/>
    </row>
    <row r="735" spans="1:11">
      <c r="A735" s="384"/>
      <c r="B735" s="384"/>
      <c r="C735" s="384"/>
      <c r="D735" s="1763"/>
      <c r="E735" s="1763"/>
      <c r="F735" s="1763"/>
      <c r="H735" s="402"/>
      <c r="I735" s="384"/>
      <c r="J735" s="402"/>
      <c r="K735" s="402"/>
    </row>
    <row r="736" spans="1:11">
      <c r="A736" s="384"/>
      <c r="B736" s="384"/>
      <c r="C736" s="384"/>
      <c r="D736" s="1763"/>
      <c r="E736" s="1763"/>
      <c r="F736" s="1763"/>
      <c r="H736" s="402"/>
      <c r="I736" s="384"/>
      <c r="J736" s="402"/>
      <c r="K736" s="402"/>
    </row>
    <row r="737" spans="1:11">
      <c r="A737" s="384"/>
      <c r="B737" s="384"/>
      <c r="C737" s="384"/>
      <c r="H737" s="402"/>
      <c r="I737" s="384"/>
      <c r="J737" s="402"/>
      <c r="K737" s="402"/>
    </row>
    <row r="738" spans="1:11">
      <c r="A738" s="384"/>
      <c r="B738" s="386" t="s">
        <v>316</v>
      </c>
      <c r="C738" s="384"/>
      <c r="D738" s="1763" t="s">
        <v>524</v>
      </c>
      <c r="E738" s="1763"/>
      <c r="F738" s="1763"/>
      <c r="H738" s="402"/>
      <c r="I738" s="384"/>
      <c r="J738" s="402"/>
      <c r="K738" s="402"/>
    </row>
    <row r="739" spans="1:11">
      <c r="A739" s="384"/>
      <c r="B739" s="384"/>
      <c r="C739" s="384"/>
      <c r="D739" s="1763"/>
      <c r="E739" s="1763"/>
      <c r="F739" s="1763"/>
      <c r="H739" s="402"/>
      <c r="I739" s="384"/>
      <c r="J739" s="402"/>
      <c r="K739" s="402"/>
    </row>
    <row r="740" spans="1:11">
      <c r="A740" s="384"/>
      <c r="B740" s="384"/>
      <c r="C740" s="384"/>
      <c r="D740" s="1763"/>
      <c r="E740" s="1763"/>
      <c r="F740" s="1763"/>
      <c r="H740" s="402"/>
      <c r="I740" s="384"/>
      <c r="J740" s="402"/>
      <c r="K740" s="402"/>
    </row>
    <row r="741" spans="1:11">
      <c r="A741" s="384"/>
      <c r="B741" s="384"/>
      <c r="C741" s="384"/>
      <c r="D741" s="1763"/>
      <c r="E741" s="1763"/>
      <c r="F741" s="1763"/>
      <c r="H741" s="402"/>
      <c r="I741" s="384"/>
      <c r="J741" s="402"/>
      <c r="K741" s="402"/>
    </row>
    <row r="742" spans="1:11">
      <c r="A742" s="384"/>
      <c r="B742" s="384"/>
      <c r="C742" s="384"/>
      <c r="H742" s="402"/>
      <c r="I742" s="384"/>
      <c r="J742" s="402"/>
      <c r="K742" s="402"/>
    </row>
    <row r="743" spans="1:11" ht="14.25">
      <c r="A743" s="385"/>
      <c r="B743" s="386" t="s">
        <v>316</v>
      </c>
      <c r="C743" s="384"/>
      <c r="D743" s="1763" t="s">
        <v>525</v>
      </c>
      <c r="E743" s="1763"/>
      <c r="F743" s="1763"/>
      <c r="H743" s="402"/>
      <c r="I743" s="384"/>
      <c r="J743" s="402"/>
      <c r="K743" s="402"/>
    </row>
    <row r="744" spans="1:11">
      <c r="A744" s="384"/>
      <c r="B744" s="384"/>
      <c r="C744" s="384"/>
      <c r="D744" s="1763"/>
      <c r="E744" s="1763"/>
      <c r="F744" s="1763"/>
      <c r="H744" s="402"/>
      <c r="I744" s="384"/>
      <c r="J744" s="402"/>
      <c r="K744" s="402"/>
    </row>
    <row r="745" spans="1:11">
      <c r="A745" s="384"/>
      <c r="B745" s="384"/>
      <c r="C745" s="384"/>
      <c r="D745" s="1763"/>
      <c r="E745" s="1763"/>
      <c r="F745" s="1763"/>
      <c r="H745" s="402"/>
      <c r="I745" s="384"/>
      <c r="J745" s="402"/>
      <c r="K745" s="402"/>
    </row>
    <row r="746" spans="1:11">
      <c r="A746" s="384"/>
      <c r="B746" s="384"/>
      <c r="C746" s="384"/>
      <c r="D746" s="1763"/>
      <c r="E746" s="1763"/>
      <c r="F746" s="1763"/>
      <c r="H746" s="402"/>
      <c r="I746" s="384"/>
      <c r="J746" s="402"/>
      <c r="K746" s="402"/>
    </row>
    <row r="747" spans="1:11">
      <c r="A747" s="384"/>
      <c r="B747" s="384"/>
      <c r="C747" s="384"/>
      <c r="D747" s="1763"/>
      <c r="E747" s="1763"/>
      <c r="F747" s="1763"/>
      <c r="H747" s="402"/>
      <c r="I747" s="384"/>
      <c r="J747" s="402"/>
      <c r="K747" s="402"/>
    </row>
    <row r="748" spans="1:11">
      <c r="A748" s="384"/>
      <c r="B748" s="384"/>
      <c r="C748" s="384"/>
      <c r="D748" s="393"/>
      <c r="H748" s="402"/>
      <c r="I748" s="384"/>
      <c r="J748" s="402"/>
      <c r="K748" s="402"/>
    </row>
    <row r="749" spans="1:11" ht="14.25">
      <c r="A749" s="385"/>
      <c r="B749" s="386" t="s">
        <v>316</v>
      </c>
      <c r="C749" s="384"/>
      <c r="D749" s="1763" t="s">
        <v>526</v>
      </c>
      <c r="E749" s="1763"/>
      <c r="F749" s="1763"/>
      <c r="H749" s="402"/>
      <c r="I749" s="384"/>
      <c r="J749" s="402"/>
      <c r="K749" s="402"/>
    </row>
    <row r="750" spans="1:11">
      <c r="A750" s="384"/>
      <c r="B750" s="384"/>
      <c r="C750" s="384"/>
      <c r="D750" s="1763"/>
      <c r="E750" s="1763"/>
      <c r="F750" s="1763"/>
      <c r="H750" s="402"/>
      <c r="I750" s="384"/>
      <c r="J750" s="402"/>
      <c r="K750" s="402"/>
    </row>
    <row r="751" spans="1:11">
      <c r="A751" s="384"/>
      <c r="B751" s="384"/>
      <c r="C751" s="384"/>
      <c r="D751" s="1763"/>
      <c r="E751" s="1763"/>
      <c r="F751" s="1763"/>
      <c r="H751" s="402"/>
      <c r="I751" s="384"/>
      <c r="J751" s="402"/>
      <c r="K751" s="402"/>
    </row>
    <row r="752" spans="1:11">
      <c r="A752" s="384"/>
      <c r="B752" s="384"/>
      <c r="C752" s="384"/>
      <c r="D752" s="1763"/>
      <c r="E752" s="1763"/>
      <c r="F752" s="1763"/>
      <c r="H752" s="402"/>
      <c r="I752" s="384"/>
      <c r="J752" s="402"/>
      <c r="K752" s="402"/>
    </row>
    <row r="753" spans="1:11">
      <c r="A753" s="384"/>
      <c r="B753" s="384"/>
      <c r="C753" s="384"/>
      <c r="D753" s="1763"/>
      <c r="E753" s="1763"/>
      <c r="F753" s="1763"/>
      <c r="H753" s="402"/>
      <c r="I753" s="384"/>
      <c r="J753" s="402"/>
      <c r="K753" s="402"/>
    </row>
    <row r="754" spans="1:11">
      <c r="A754" s="384"/>
      <c r="B754" s="384"/>
      <c r="C754" s="384"/>
      <c r="D754" s="1763"/>
      <c r="E754" s="1763"/>
      <c r="F754" s="1763"/>
      <c r="H754" s="402"/>
      <c r="I754" s="384"/>
      <c r="J754" s="402"/>
      <c r="K754" s="402"/>
    </row>
    <row r="755" spans="1:11">
      <c r="A755" s="384"/>
      <c r="B755" s="384"/>
      <c r="C755" s="384"/>
      <c r="D755" s="1763"/>
      <c r="E755" s="1763"/>
      <c r="F755" s="1763"/>
      <c r="H755" s="402"/>
      <c r="I755" s="384"/>
      <c r="J755" s="402"/>
      <c r="K755" s="402"/>
    </row>
    <row r="756" spans="1:11">
      <c r="A756" s="384"/>
      <c r="B756" s="384"/>
      <c r="C756" s="384"/>
      <c r="D756" s="1768" t="s">
        <v>527</v>
      </c>
      <c r="E756" s="1768"/>
      <c r="F756" s="1768"/>
      <c r="H756" s="402"/>
      <c r="I756" s="384"/>
      <c r="J756" s="402"/>
      <c r="K756" s="402"/>
    </row>
    <row r="757" spans="1:11">
      <c r="A757" s="384"/>
      <c r="B757" s="384"/>
      <c r="C757" s="384"/>
      <c r="D757" s="244"/>
      <c r="H757" s="402"/>
      <c r="I757" s="384"/>
      <c r="J757" s="402"/>
      <c r="K757" s="402"/>
    </row>
    <row r="758" spans="1:11">
      <c r="A758" s="1767" t="s">
        <v>528</v>
      </c>
      <c r="B758" s="1767"/>
      <c r="C758" s="1767"/>
      <c r="D758" s="1767"/>
      <c r="E758" s="1767"/>
      <c r="F758" s="1767"/>
      <c r="G758" s="1767"/>
      <c r="H758" s="916"/>
      <c r="I758" s="1040"/>
      <c r="J758" s="402"/>
      <c r="K758" s="402"/>
    </row>
    <row r="759" spans="1:11">
      <c r="A759" s="384"/>
      <c r="B759" s="384"/>
      <c r="C759" s="384"/>
      <c r="D759" s="393"/>
      <c r="G759" s="402"/>
      <c r="H759" s="402"/>
      <c r="I759" s="384"/>
      <c r="J759" s="402"/>
      <c r="K759" s="402"/>
    </row>
    <row r="760" spans="1:11" ht="13.7" customHeight="1">
      <c r="C760" s="384"/>
      <c r="D760" s="1783" t="s">
        <v>529</v>
      </c>
      <c r="E760" s="1783"/>
      <c r="F760" s="1783"/>
      <c r="G760" s="402"/>
      <c r="H760" s="402"/>
      <c r="I760" s="384"/>
      <c r="J760" s="402"/>
      <c r="K760" s="402"/>
    </row>
    <row r="761" spans="1:11">
      <c r="A761" s="384"/>
      <c r="B761" s="384"/>
      <c r="C761" s="384"/>
      <c r="D761" s="1769" t="s">
        <v>530</v>
      </c>
      <c r="E761" s="1769"/>
      <c r="F761" s="1769"/>
      <c r="G761" s="402"/>
      <c r="H761" s="402"/>
      <c r="I761" s="384"/>
      <c r="J761" s="402"/>
      <c r="K761" s="402"/>
    </row>
    <row r="762" spans="1:11">
      <c r="A762" s="384"/>
      <c r="B762" s="384"/>
      <c r="C762" s="384"/>
      <c r="G762" s="402"/>
      <c r="H762" s="402"/>
      <c r="I762" s="384"/>
      <c r="J762" s="402"/>
      <c r="K762" s="402"/>
    </row>
    <row r="763" spans="1:11" ht="14.25">
      <c r="A763" s="385"/>
      <c r="B763" s="386" t="s">
        <v>531</v>
      </c>
      <c r="D763" s="1763" t="s">
        <v>532</v>
      </c>
      <c r="E763" s="1763"/>
      <c r="F763" s="1763"/>
      <c r="G763" s="402"/>
      <c r="H763" s="402"/>
      <c r="I763" s="384"/>
      <c r="J763" s="402"/>
      <c r="K763" s="402"/>
    </row>
    <row r="764" spans="1:11" ht="10.5" customHeight="1">
      <c r="D764" s="1763"/>
      <c r="E764" s="1763"/>
      <c r="F764" s="1763"/>
      <c r="G764" s="402"/>
      <c r="H764" s="402"/>
      <c r="I764" s="384"/>
      <c r="J764" s="402"/>
      <c r="K764" s="402"/>
    </row>
    <row r="765" spans="1:11">
      <c r="D765" s="1763"/>
      <c r="E765" s="1763"/>
      <c r="F765" s="1763"/>
      <c r="G765" s="402"/>
      <c r="H765" s="402"/>
      <c r="I765" s="384"/>
      <c r="J765" s="402"/>
      <c r="K765" s="402"/>
    </row>
    <row r="766" spans="1:11">
      <c r="D766" s="1763"/>
      <c r="E766" s="1763"/>
      <c r="F766" s="1763"/>
      <c r="G766" s="402"/>
      <c r="H766" s="402"/>
      <c r="I766" s="384"/>
      <c r="J766" s="402"/>
      <c r="K766" s="402"/>
    </row>
    <row r="767" spans="1:11">
      <c r="D767" s="1763"/>
      <c r="E767" s="1763"/>
      <c r="F767" s="1763"/>
      <c r="G767" s="402"/>
      <c r="H767" s="402"/>
      <c r="I767" s="384"/>
      <c r="J767" s="402"/>
      <c r="K767" s="402"/>
    </row>
    <row r="768" spans="1:11" ht="15.6" customHeight="1">
      <c r="D768" s="1763"/>
      <c r="E768" s="1763"/>
      <c r="F768" s="1763"/>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763" t="s">
        <v>533</v>
      </c>
      <c r="E770" s="1763"/>
      <c r="F770" s="1763"/>
      <c r="I770" s="1041"/>
    </row>
    <row r="771" spans="1:11" s="406" customFormat="1">
      <c r="A771" s="405"/>
      <c r="B771" s="405"/>
      <c r="C771" s="405"/>
      <c r="D771" s="1763"/>
      <c r="E771" s="1763"/>
      <c r="F771" s="1763"/>
      <c r="I771" s="1041"/>
    </row>
    <row r="772" spans="1:11" s="406" customFormat="1">
      <c r="A772" s="405"/>
      <c r="B772" s="405"/>
      <c r="C772" s="405"/>
      <c r="D772" s="1763"/>
      <c r="E772" s="1763"/>
      <c r="F772" s="1763"/>
      <c r="I772" s="1041"/>
    </row>
    <row r="773" spans="1:11" s="406" customFormat="1">
      <c r="A773" s="405"/>
      <c r="B773" s="405"/>
      <c r="C773" s="405"/>
      <c r="D773" s="1763"/>
      <c r="E773" s="1763"/>
      <c r="F773" s="1763"/>
      <c r="I773" s="1041"/>
    </row>
    <row r="774" spans="1:11" s="406" customFormat="1">
      <c r="A774" s="405"/>
      <c r="B774" s="405"/>
      <c r="C774" s="405"/>
      <c r="D774" s="400"/>
      <c r="I774" s="1041"/>
    </row>
    <row r="775" spans="1:11" s="406" customFormat="1" ht="14.25">
      <c r="A775" s="385"/>
      <c r="B775" s="386" t="s">
        <v>316</v>
      </c>
      <c r="C775" s="405"/>
      <c r="D775" s="1762" t="s">
        <v>534</v>
      </c>
      <c r="E775" s="1762"/>
      <c r="F775" s="1762"/>
      <c r="I775" s="1041"/>
    </row>
    <row r="776" spans="1:11" s="406" customFormat="1">
      <c r="A776" s="405"/>
      <c r="B776" s="405"/>
      <c r="C776" s="405"/>
      <c r="D776" s="1762"/>
      <c r="E776" s="1762"/>
      <c r="F776" s="1762"/>
      <c r="I776" s="1041"/>
    </row>
    <row r="777" spans="1:11" s="406" customFormat="1">
      <c r="A777" s="405"/>
      <c r="B777" s="405"/>
      <c r="C777" s="405"/>
      <c r="D777" s="1762"/>
      <c r="E777" s="1762"/>
      <c r="F777" s="1762"/>
      <c r="I777" s="1041"/>
    </row>
    <row r="778" spans="1:11">
      <c r="D778" s="400"/>
      <c r="E778" s="348"/>
      <c r="F778" s="348"/>
      <c r="G778" s="402"/>
      <c r="H778" s="402"/>
      <c r="I778" s="384"/>
      <c r="J778" s="402"/>
      <c r="K778" s="402"/>
    </row>
    <row r="779" spans="1:11" ht="14.25">
      <c r="A779" s="385"/>
      <c r="B779" s="386" t="s">
        <v>316</v>
      </c>
      <c r="D779" s="1763" t="s">
        <v>535</v>
      </c>
      <c r="E779" s="1763"/>
      <c r="F779" s="1763"/>
      <c r="G779" s="402"/>
      <c r="H779" s="402"/>
      <c r="I779" s="384"/>
      <c r="J779" s="402"/>
      <c r="K779" s="402"/>
    </row>
    <row r="780" spans="1:11">
      <c r="D780" s="1763"/>
      <c r="E780" s="1763"/>
      <c r="F780" s="1763"/>
      <c r="G780" s="402"/>
      <c r="H780" s="402"/>
      <c r="I780" s="384"/>
      <c r="J780" s="402"/>
      <c r="K780" s="402"/>
    </row>
    <row r="781" spans="1:11">
      <c r="D781" s="347"/>
      <c r="E781" s="347"/>
      <c r="F781" s="347"/>
      <c r="G781" s="402"/>
      <c r="H781" s="402"/>
      <c r="I781" s="384"/>
      <c r="J781" s="402"/>
      <c r="K781" s="402"/>
    </row>
    <row r="782" spans="1:11">
      <c r="B782" s="386" t="s">
        <v>316</v>
      </c>
      <c r="D782" s="1763" t="s">
        <v>536</v>
      </c>
      <c r="E782" s="1763"/>
      <c r="F782" s="1763"/>
      <c r="G782" s="402"/>
      <c r="H782" s="402"/>
      <c r="I782" s="384"/>
      <c r="J782" s="402"/>
      <c r="K782" s="402"/>
    </row>
    <row r="783" spans="1:11">
      <c r="D783" s="1763"/>
      <c r="E783" s="1763"/>
      <c r="F783" s="1763"/>
      <c r="G783" s="402"/>
      <c r="H783" s="402"/>
      <c r="I783" s="384"/>
      <c r="J783" s="402"/>
      <c r="K783" s="402"/>
    </row>
    <row r="784" spans="1:11">
      <c r="D784" s="1763"/>
      <c r="E784" s="1763"/>
      <c r="F784" s="1763"/>
      <c r="G784" s="402"/>
      <c r="H784" s="402"/>
      <c r="I784" s="384"/>
      <c r="J784" s="402"/>
      <c r="K784" s="402"/>
    </row>
    <row r="785" spans="1:11">
      <c r="D785" s="347"/>
      <c r="E785" s="347"/>
      <c r="F785" s="347"/>
      <c r="G785" s="402"/>
      <c r="H785" s="402"/>
      <c r="I785" s="384"/>
      <c r="J785" s="402"/>
      <c r="K785" s="402"/>
    </row>
    <row r="786" spans="1:11">
      <c r="A786" s="1782" t="s">
        <v>537</v>
      </c>
      <c r="B786" s="1782"/>
      <c r="C786" s="1782"/>
      <c r="D786" s="1782"/>
      <c r="E786" s="1782"/>
      <c r="F786" s="1782"/>
      <c r="G786" s="1782"/>
      <c r="H786" s="914"/>
      <c r="I786" s="1036"/>
    </row>
    <row r="787" spans="1:11">
      <c r="A787" s="49"/>
      <c r="B787" s="49"/>
      <c r="C787" s="257"/>
      <c r="D787" s="3"/>
      <c r="E787" s="3"/>
      <c r="F787" s="3"/>
      <c r="G787" s="3"/>
      <c r="I787" s="391"/>
    </row>
    <row r="788" spans="1:11">
      <c r="A788" s="49"/>
      <c r="B788" s="49"/>
      <c r="C788" s="257"/>
      <c r="D788" s="1781" t="s">
        <v>538</v>
      </c>
      <c r="E788" s="1781"/>
      <c r="F788" s="1781"/>
      <c r="G788" s="3"/>
      <c r="I788" s="391"/>
    </row>
    <row r="789" spans="1:11">
      <c r="A789" s="49"/>
      <c r="B789" s="49"/>
      <c r="C789" s="257"/>
      <c r="D789" s="1773" t="s">
        <v>539</v>
      </c>
      <c r="E789" s="1773"/>
      <c r="F789" s="1773"/>
      <c r="G789" s="3"/>
      <c r="I789" s="391"/>
    </row>
    <row r="790" spans="1:11">
      <c r="A790" s="49"/>
      <c r="B790" s="49"/>
      <c r="C790" s="257"/>
      <c r="D790" s="349"/>
      <c r="E790" s="349"/>
      <c r="F790" s="349"/>
      <c r="G790" s="3"/>
      <c r="I790" s="391"/>
    </row>
    <row r="791" spans="1:11">
      <c r="A791" s="49"/>
      <c r="B791" s="386" t="s">
        <v>311</v>
      </c>
      <c r="C791" s="257"/>
      <c r="D791" s="1757" t="s">
        <v>540</v>
      </c>
      <c r="E791" s="1757"/>
      <c r="F791" s="1757"/>
      <c r="G791" s="3"/>
      <c r="I791" s="384"/>
    </row>
    <row r="792" spans="1:11">
      <c r="A792" s="49"/>
      <c r="B792" s="49"/>
      <c r="C792" s="257"/>
      <c r="D792" s="1757"/>
      <c r="E792" s="1757"/>
      <c r="F792" s="1757"/>
      <c r="G792" s="3"/>
      <c r="I792" s="391"/>
    </row>
    <row r="793" spans="1:11">
      <c r="A793" s="121"/>
      <c r="B793" s="121"/>
      <c r="C793" s="121"/>
      <c r="D793" s="1757"/>
      <c r="E793" s="1757"/>
      <c r="F793" s="1757"/>
      <c r="G793" s="84"/>
      <c r="I793" s="391"/>
    </row>
    <row r="794" spans="1:11">
      <c r="A794" s="257"/>
      <c r="B794" s="257"/>
      <c r="C794" s="257"/>
      <c r="D794" s="120"/>
      <c r="E794" s="3"/>
      <c r="F794" s="3"/>
      <c r="G794" s="3"/>
      <c r="I794" s="391"/>
    </row>
    <row r="795" spans="1:11">
      <c r="A795" s="119"/>
      <c r="B795" s="386" t="s">
        <v>316</v>
      </c>
      <c r="C795" s="119"/>
      <c r="D795" s="1757" t="s">
        <v>541</v>
      </c>
      <c r="E795" s="1757"/>
      <c r="F795" s="1757"/>
      <c r="G795" s="3"/>
      <c r="I795" s="384"/>
    </row>
    <row r="796" spans="1:11">
      <c r="A796" s="119"/>
      <c r="B796" s="119"/>
      <c r="C796" s="119"/>
      <c r="D796" s="1757"/>
      <c r="E796" s="1757"/>
      <c r="F796" s="1757"/>
      <c r="G796" s="3"/>
      <c r="I796" s="391"/>
    </row>
    <row r="797" spans="1:11">
      <c r="A797" s="119"/>
      <c r="B797" s="119"/>
      <c r="C797" s="119"/>
      <c r="D797" s="1757"/>
      <c r="E797" s="1757"/>
      <c r="F797" s="1757"/>
      <c r="G797" s="3"/>
      <c r="I797" s="391"/>
    </row>
    <row r="798" spans="1:11">
      <c r="A798" s="121"/>
      <c r="B798" s="121"/>
      <c r="C798" s="121"/>
      <c r="D798" s="3"/>
      <c r="E798" s="877"/>
      <c r="F798" s="877"/>
      <c r="G798" s="877"/>
      <c r="I798" s="391"/>
    </row>
    <row r="799" spans="1:11" ht="14.25">
      <c r="A799" s="122"/>
      <c r="B799" s="386" t="s">
        <v>316</v>
      </c>
      <c r="C799" s="878"/>
      <c r="D799" s="1757" t="s">
        <v>542</v>
      </c>
      <c r="E799" s="1757"/>
      <c r="F799" s="1757"/>
      <c r="G799" s="877"/>
      <c r="I799" s="384"/>
    </row>
    <row r="800" spans="1:11" ht="14.25">
      <c r="A800" s="122"/>
      <c r="B800" s="122"/>
      <c r="C800" s="878"/>
      <c r="D800" s="1757"/>
      <c r="E800" s="1757"/>
      <c r="F800" s="1757"/>
      <c r="G800" s="877"/>
      <c r="I800" s="391"/>
    </row>
    <row r="801" spans="1:9" ht="14.25">
      <c r="A801" s="122"/>
      <c r="B801" s="122"/>
      <c r="C801" s="878"/>
      <c r="D801" s="1757"/>
      <c r="E801" s="1757"/>
      <c r="F801" s="1757"/>
      <c r="G801" s="877"/>
      <c r="I801" s="391"/>
    </row>
    <row r="802" spans="1:9" ht="14.25">
      <c r="A802" s="122"/>
      <c r="B802" s="122"/>
      <c r="C802" s="878"/>
      <c r="D802" s="84"/>
      <c r="E802" s="3"/>
      <c r="F802" s="3"/>
      <c r="G802" s="877"/>
      <c r="I802" s="391"/>
    </row>
    <row r="803" spans="1:9" ht="14.25">
      <c r="A803" s="122"/>
      <c r="B803" s="386" t="s">
        <v>316</v>
      </c>
      <c r="C803" s="878"/>
      <c r="D803" s="1757" t="s">
        <v>543</v>
      </c>
      <c r="E803" s="1757"/>
      <c r="F803" s="1757"/>
      <c r="G803" s="877"/>
      <c r="I803" s="384"/>
    </row>
    <row r="804" spans="1:9" ht="14.25">
      <c r="A804" s="122"/>
      <c r="B804" s="122"/>
      <c r="C804" s="878"/>
      <c r="D804" s="1757"/>
      <c r="E804" s="1757"/>
      <c r="F804" s="1757"/>
      <c r="G804" s="877"/>
      <c r="I804" s="391"/>
    </row>
    <row r="805" spans="1:9" ht="14.25">
      <c r="A805" s="122"/>
      <c r="B805" s="122"/>
      <c r="C805" s="878"/>
      <c r="D805" s="1757"/>
      <c r="E805" s="1757"/>
      <c r="F805" s="1757"/>
      <c r="G805" s="877"/>
      <c r="I805" s="391"/>
    </row>
    <row r="806" spans="1:9" ht="14.25">
      <c r="A806" s="122"/>
      <c r="B806" s="122"/>
      <c r="C806" s="878"/>
      <c r="D806" s="1757"/>
      <c r="E806" s="1757"/>
      <c r="F806" s="1757"/>
      <c r="G806" s="877"/>
      <c r="I806" s="391"/>
    </row>
    <row r="807" spans="1:9" ht="14.25">
      <c r="A807" s="122"/>
      <c r="B807" s="122"/>
      <c r="C807" s="878"/>
      <c r="D807" s="1757"/>
      <c r="E807" s="1757"/>
      <c r="F807" s="1757"/>
      <c r="G807" s="877"/>
      <c r="I807" s="391"/>
    </row>
    <row r="808" spans="1:9" ht="14.25">
      <c r="A808" s="122"/>
      <c r="B808" s="122"/>
      <c r="C808" s="878"/>
      <c r="D808" s="1757"/>
      <c r="E808" s="1757"/>
      <c r="F808" s="1757"/>
      <c r="G808" s="877"/>
      <c r="I808" s="391"/>
    </row>
    <row r="809" spans="1:9" ht="14.25">
      <c r="A809" s="122"/>
      <c r="B809" s="122"/>
      <c r="C809" s="878"/>
      <c r="D809" s="1757" t="s">
        <v>544</v>
      </c>
      <c r="E809" s="1757"/>
      <c r="F809" s="1757"/>
      <c r="G809" s="877"/>
      <c r="I809" s="391"/>
    </row>
    <row r="810" spans="1:9" ht="14.25">
      <c r="A810" s="122"/>
      <c r="B810" s="122"/>
      <c r="C810" s="878"/>
      <c r="D810" s="1757"/>
      <c r="E810" s="1757"/>
      <c r="F810" s="1757"/>
      <c r="G810" s="877"/>
      <c r="I810" s="391"/>
    </row>
    <row r="811" spans="1:9" ht="14.25">
      <c r="A811" s="122"/>
      <c r="B811" s="122"/>
      <c r="C811" s="878"/>
      <c r="D811" s="1757"/>
      <c r="E811" s="1757"/>
      <c r="F811" s="1757"/>
      <c r="G811" s="877"/>
      <c r="I811" s="391"/>
    </row>
    <row r="812" spans="1:9" ht="14.25">
      <c r="A812" s="122"/>
      <c r="B812" s="257"/>
      <c r="C812" s="878"/>
      <c r="D812" s="879"/>
      <c r="E812" s="879"/>
      <c r="F812" s="879"/>
      <c r="G812" s="877"/>
      <c r="I812" s="391"/>
    </row>
    <row r="813" spans="1:9" ht="14.25">
      <c r="A813" s="122"/>
      <c r="B813" s="386" t="s">
        <v>316</v>
      </c>
      <c r="C813" s="878"/>
      <c r="D813" s="1757" t="s">
        <v>545</v>
      </c>
      <c r="E813" s="1757"/>
      <c r="F813" s="1757"/>
      <c r="G813" s="877"/>
      <c r="I813" s="384"/>
    </row>
    <row r="814" spans="1:9" ht="14.25">
      <c r="A814" s="122"/>
      <c r="B814" s="122"/>
      <c r="C814" s="878"/>
      <c r="D814" s="1757"/>
      <c r="E814" s="1757"/>
      <c r="F814" s="1757"/>
      <c r="G814" s="877"/>
      <c r="I814" s="391"/>
    </row>
    <row r="815" spans="1:9" ht="14.25">
      <c r="A815" s="122"/>
      <c r="B815" s="122"/>
      <c r="C815" s="878"/>
      <c r="D815" s="1757"/>
      <c r="E815" s="1757"/>
      <c r="F815" s="1757"/>
      <c r="G815" s="877"/>
      <c r="I815" s="391"/>
    </row>
    <row r="816" spans="1:9" ht="14.25">
      <c r="A816" s="122"/>
      <c r="B816" s="122"/>
      <c r="C816" s="878"/>
      <c r="D816" s="1757"/>
      <c r="E816" s="1757"/>
      <c r="F816" s="1757"/>
      <c r="G816" s="877"/>
      <c r="I816" s="391"/>
    </row>
    <row r="817" spans="1:9" ht="14.25">
      <c r="A817" s="122"/>
      <c r="B817" s="122"/>
      <c r="C817" s="878"/>
      <c r="D817" s="1757"/>
      <c r="E817" s="1757"/>
      <c r="F817" s="1757"/>
      <c r="G817" s="877"/>
      <c r="I817" s="391"/>
    </row>
    <row r="818" spans="1:9" ht="14.25">
      <c r="A818" s="122"/>
      <c r="B818" s="122"/>
      <c r="C818" s="878"/>
      <c r="D818" s="1757"/>
      <c r="E818" s="1757"/>
      <c r="F818" s="1757"/>
      <c r="G818" s="877"/>
      <c r="I818" s="391"/>
    </row>
    <row r="819" spans="1:9" ht="14.25">
      <c r="A819" s="122"/>
      <c r="B819" s="122"/>
      <c r="C819" s="878"/>
      <c r="D819" s="871"/>
      <c r="E819" s="871"/>
      <c r="F819" s="871"/>
      <c r="G819" s="877"/>
      <c r="I819" s="391"/>
    </row>
    <row r="820" spans="1:9" ht="14.25">
      <c r="A820" s="122"/>
      <c r="B820" s="386" t="s">
        <v>311</v>
      </c>
      <c r="C820" s="878"/>
      <c r="D820" s="1757" t="s">
        <v>546</v>
      </c>
      <c r="E820" s="1757"/>
      <c r="F820" s="1757"/>
      <c r="G820" s="877"/>
      <c r="I820" s="384"/>
    </row>
    <row r="821" spans="1:9" ht="14.25">
      <c r="A821" s="122"/>
      <c r="B821" s="122"/>
      <c r="C821" s="878"/>
      <c r="D821" s="1757"/>
      <c r="E821" s="1757"/>
      <c r="F821" s="1757"/>
      <c r="G821" s="877"/>
      <c r="I821" s="391"/>
    </row>
    <row r="822" spans="1:9" ht="14.25">
      <c r="A822" s="122"/>
      <c r="B822" s="122"/>
      <c r="C822" s="878"/>
      <c r="D822" s="1757"/>
      <c r="E822" s="1757"/>
      <c r="F822" s="1757"/>
      <c r="G822" s="877"/>
      <c r="I822" s="391"/>
    </row>
    <row r="823" spans="1:9" ht="14.25">
      <c r="A823" s="122"/>
      <c r="B823" s="122"/>
      <c r="C823" s="878"/>
      <c r="D823" s="1757"/>
      <c r="E823" s="1757"/>
      <c r="F823" s="1757"/>
      <c r="G823" s="877"/>
      <c r="I823" s="391"/>
    </row>
    <row r="824" spans="1:9" ht="14.25">
      <c r="A824" s="122"/>
      <c r="B824" s="122"/>
      <c r="C824" s="878"/>
      <c r="D824" s="1757"/>
      <c r="E824" s="1757"/>
      <c r="F824" s="1757"/>
      <c r="G824" s="877"/>
      <c r="I824" s="391"/>
    </row>
    <row r="825" spans="1:9" ht="14.25">
      <c r="A825" s="122"/>
      <c r="B825" s="122"/>
      <c r="C825" s="878"/>
      <c r="D825" s="1757"/>
      <c r="E825" s="1757"/>
      <c r="F825" s="1757"/>
      <c r="G825" s="877"/>
      <c r="I825" s="391"/>
    </row>
    <row r="826" spans="1:9" ht="14.25">
      <c r="A826" s="122"/>
      <c r="B826" s="122"/>
      <c r="C826" s="878"/>
      <c r="D826" s="871"/>
      <c r="E826" s="871"/>
      <c r="F826" s="871"/>
      <c r="G826" s="877"/>
      <c r="I826" s="391"/>
    </row>
    <row r="827" spans="1:9" ht="14.25">
      <c r="A827" s="122"/>
      <c r="B827" s="386" t="s">
        <v>316</v>
      </c>
      <c r="C827" s="878"/>
      <c r="D827" s="1753" t="s">
        <v>547</v>
      </c>
      <c r="E827" s="1753"/>
      <c r="F827" s="1753"/>
      <c r="G827" s="877"/>
      <c r="I827" s="384"/>
    </row>
    <row r="828" spans="1:9" ht="14.25">
      <c r="A828" s="122"/>
      <c r="B828" s="122"/>
      <c r="C828" s="878"/>
      <c r="D828" s="1753"/>
      <c r="E828" s="1753"/>
      <c r="F828" s="1753"/>
      <c r="G828" s="877"/>
      <c r="I828" s="391"/>
    </row>
    <row r="829" spans="1:9">
      <c r="A829" s="12"/>
      <c r="B829" s="12"/>
      <c r="C829" s="878"/>
      <c r="D829" s="1753"/>
      <c r="E829" s="1753"/>
      <c r="F829" s="1753"/>
      <c r="G829" s="877"/>
      <c r="I829" s="391"/>
    </row>
    <row r="830" spans="1:9" ht="14.25">
      <c r="A830" s="122"/>
      <c r="B830" s="12"/>
      <c r="C830" s="878"/>
      <c r="D830" s="1753"/>
      <c r="E830" s="1753"/>
      <c r="F830" s="1753"/>
      <c r="G830" s="877"/>
      <c r="I830" s="391"/>
    </row>
    <row r="831" spans="1:9" ht="12.75" customHeight="1">
      <c r="A831" s="122"/>
      <c r="B831" s="12"/>
      <c r="C831" s="878"/>
      <c r="D831" s="1753"/>
      <c r="E831" s="1753"/>
      <c r="F831" s="1753"/>
      <c r="G831" s="877"/>
      <c r="I831" s="391"/>
    </row>
    <row r="832" spans="1:9" ht="12.75" customHeight="1">
      <c r="A832" s="122"/>
      <c r="B832" s="12"/>
      <c r="C832" s="878"/>
      <c r="D832" s="1753"/>
      <c r="E832" s="1753"/>
      <c r="F832" s="1753"/>
      <c r="G832" s="877"/>
      <c r="I832" s="391"/>
    </row>
    <row r="833" spans="1:9" ht="12.75" customHeight="1">
      <c r="A833" s="12"/>
      <c r="B833" s="12"/>
      <c r="C833" s="878"/>
      <c r="D833" s="877"/>
      <c r="E833" s="3"/>
      <c r="F833" s="3"/>
      <c r="G833" s="877"/>
      <c r="I833" s="391"/>
    </row>
    <row r="834" spans="1:9" ht="12.75" customHeight="1">
      <c r="A834" s="1751" t="s">
        <v>548</v>
      </c>
      <c r="B834" s="1751"/>
      <c r="C834" s="1751"/>
      <c r="D834" s="1751"/>
      <c r="E834" s="1751"/>
      <c r="F834" s="1751"/>
      <c r="G834" s="1751"/>
      <c r="H834" s="914"/>
      <c r="I834" s="1036"/>
    </row>
    <row r="835" spans="1:9" ht="12.75" customHeight="1">
      <c r="A835" s="119"/>
      <c r="B835" s="119"/>
      <c r="C835" s="878"/>
      <c r="D835" s="877"/>
      <c r="E835" s="877"/>
      <c r="F835" s="877"/>
      <c r="G835" s="877"/>
      <c r="I835" s="391"/>
    </row>
    <row r="836" spans="1:9" ht="12.75" customHeight="1">
      <c r="A836" s="122"/>
      <c r="B836" s="122"/>
      <c r="C836" s="257"/>
      <c r="D836" s="1771" t="s">
        <v>549</v>
      </c>
      <c r="E836" s="1771"/>
      <c r="F836" s="1771"/>
      <c r="G836" s="3"/>
      <c r="I836" s="391"/>
    </row>
    <row r="837" spans="1:9" ht="14.25" customHeight="1">
      <c r="A837" s="122"/>
      <c r="B837" s="122"/>
      <c r="C837" s="257"/>
      <c r="D837" s="1404" t="s">
        <v>550</v>
      </c>
      <c r="E837" s="1404"/>
      <c r="F837" s="1404"/>
      <c r="G837" s="3"/>
      <c r="I837" s="391"/>
    </row>
    <row r="838" spans="1:9" ht="12.75" customHeight="1">
      <c r="A838" s="122"/>
      <c r="B838" s="122"/>
      <c r="C838" s="257"/>
      <c r="D838" s="344"/>
      <c r="E838" s="344"/>
      <c r="F838" s="344"/>
      <c r="G838" s="3"/>
      <c r="I838" s="391"/>
    </row>
    <row r="839" spans="1:9" ht="12.75" customHeight="1">
      <c r="A839" s="257"/>
      <c r="B839" s="386" t="s">
        <v>311</v>
      </c>
      <c r="C839" s="878"/>
      <c r="D839" s="1404" t="s">
        <v>551</v>
      </c>
      <c r="E839" s="1404"/>
      <c r="F839" s="1404"/>
      <c r="G839" s="3"/>
      <c r="I839" s="391" t="s">
        <v>552</v>
      </c>
    </row>
    <row r="840" spans="1:9" ht="14.25" customHeight="1">
      <c r="A840" s="12"/>
      <c r="B840" s="12"/>
      <c r="C840" s="878"/>
      <c r="E840" s="922" t="s">
        <v>377</v>
      </c>
      <c r="F840" s="924"/>
      <c r="G840" s="3"/>
      <c r="I840" s="391"/>
    </row>
    <row r="841" spans="1:9" ht="12.75" customHeight="1">
      <c r="A841" s="12"/>
      <c r="B841" s="12"/>
      <c r="C841" s="878"/>
      <c r="D841" s="880"/>
      <c r="E841" s="3"/>
      <c r="F841" s="3"/>
      <c r="G841" s="3"/>
      <c r="I841" s="391"/>
    </row>
    <row r="842" spans="1:9" ht="14.25" hidden="1" customHeight="1">
      <c r="A842" s="12"/>
      <c r="B842" s="386">
        <f>'[3]Application Checklist'!B830</f>
        <v>0</v>
      </c>
      <c r="C842" s="878"/>
      <c r="D842" s="1772" t="s">
        <v>553</v>
      </c>
      <c r="E842" s="1772"/>
      <c r="F842" s="1772"/>
      <c r="G842" s="3"/>
      <c r="I842" s="391"/>
    </row>
    <row r="843" spans="1:9" ht="12.75" hidden="1" customHeight="1">
      <c r="A843" s="12"/>
      <c r="B843" s="12"/>
      <c r="C843" s="878"/>
      <c r="D843" s="1772"/>
      <c r="E843" s="1772"/>
      <c r="F843" s="1772"/>
      <c r="G843" s="3"/>
      <c r="I843" s="391"/>
    </row>
    <row r="844" spans="1:9" ht="12.75" hidden="1" customHeight="1">
      <c r="A844" s="12"/>
      <c r="B844" s="12"/>
      <c r="C844" s="878"/>
      <c r="D844" s="1772"/>
      <c r="E844" s="1772"/>
      <c r="F844" s="1772"/>
      <c r="G844" s="3"/>
      <c r="I844" s="391"/>
    </row>
    <row r="845" spans="1:9" ht="12.75" hidden="1" customHeight="1">
      <c r="A845" s="12"/>
      <c r="B845" s="12"/>
      <c r="C845" s="878"/>
      <c r="D845" s="1772"/>
      <c r="E845" s="1772"/>
      <c r="F845" s="1772"/>
      <c r="G845" s="3"/>
      <c r="I845" s="391"/>
    </row>
    <row r="846" spans="1:9" ht="12.75" hidden="1" customHeight="1">
      <c r="A846" s="12"/>
      <c r="B846" s="12"/>
      <c r="C846" s="878"/>
      <c r="D846" s="1772"/>
      <c r="E846" s="1772"/>
      <c r="F846" s="1772"/>
      <c r="G846" s="3"/>
      <c r="I846" s="391"/>
    </row>
    <row r="847" spans="1:9" ht="12.75" hidden="1" customHeight="1">
      <c r="A847" s="12"/>
      <c r="B847" s="12"/>
      <c r="C847" s="878"/>
      <c r="D847" s="1772"/>
      <c r="E847" s="1772"/>
      <c r="F847" s="1772"/>
      <c r="G847" s="3"/>
      <c r="I847" s="391"/>
    </row>
    <row r="848" spans="1:9" ht="12.75" hidden="1" customHeight="1">
      <c r="A848" s="12"/>
      <c r="B848" s="12"/>
      <c r="C848" s="878"/>
      <c r="D848" s="1772"/>
      <c r="E848" s="1772"/>
      <c r="F848" s="1772"/>
      <c r="G848" s="3"/>
      <c r="I848" s="391"/>
    </row>
    <row r="849" spans="1:9" ht="12.75" hidden="1" customHeight="1">
      <c r="A849" s="12"/>
      <c r="B849" s="12"/>
      <c r="C849" s="878"/>
      <c r="D849" s="1772"/>
      <c r="E849" s="1772"/>
      <c r="F849" s="1772"/>
      <c r="G849" s="3"/>
      <c r="I849" s="391"/>
    </row>
    <row r="850" spans="1:9" ht="12.75" hidden="1" customHeight="1">
      <c r="A850" s="12"/>
      <c r="B850" s="12"/>
      <c r="C850" s="878"/>
      <c r="D850" s="1772"/>
      <c r="E850" s="1772"/>
      <c r="F850" s="1772"/>
      <c r="G850" s="3"/>
      <c r="I850" s="391"/>
    </row>
    <row r="851" spans="1:9" ht="12.75" hidden="1" customHeight="1">
      <c r="A851" s="12"/>
      <c r="B851" s="12"/>
      <c r="C851" s="878"/>
      <c r="D851" s="1772"/>
      <c r="E851" s="1772"/>
      <c r="F851" s="1772"/>
      <c r="G851" s="3"/>
      <c r="I851" s="391"/>
    </row>
    <row r="852" spans="1:9" ht="12.75" hidden="1" customHeight="1">
      <c r="A852" s="12"/>
      <c r="B852" s="12"/>
      <c r="C852" s="878"/>
      <c r="D852" s="880"/>
      <c r="E852" s="3"/>
      <c r="F852" s="3"/>
      <c r="G852" s="3"/>
      <c r="I852" s="391"/>
    </row>
    <row r="853" spans="1:9" ht="12.75" customHeight="1">
      <c r="A853" s="122"/>
      <c r="B853" s="386" t="s">
        <v>311</v>
      </c>
      <c r="C853" s="878"/>
      <c r="D853" s="1404" t="s">
        <v>554</v>
      </c>
      <c r="E853" s="1404"/>
      <c r="F853" s="1404"/>
      <c r="G853" s="3"/>
      <c r="I853" s="391" t="s">
        <v>555</v>
      </c>
    </row>
    <row r="854" spans="1:9" ht="12.75" customHeight="1">
      <c r="A854" s="122"/>
      <c r="B854" s="122"/>
      <c r="C854" s="878"/>
      <c r="D854" s="1404"/>
      <c r="E854" s="1404"/>
      <c r="F854" s="1404"/>
      <c r="G854" s="3"/>
      <c r="I854" s="391"/>
    </row>
    <row r="855" spans="1:9" ht="12.75" customHeight="1">
      <c r="A855" s="122"/>
      <c r="B855" s="122"/>
      <c r="C855" s="878"/>
      <c r="D855" s="1404"/>
      <c r="E855" s="1404"/>
      <c r="F855" s="1404"/>
      <c r="G855" s="3"/>
      <c r="I855" s="391"/>
    </row>
    <row r="856" spans="1:9" ht="12.75" customHeight="1">
      <c r="A856" s="122"/>
      <c r="B856" s="122"/>
      <c r="C856" s="878"/>
      <c r="D856" s="84"/>
      <c r="E856" s="3"/>
      <c r="F856" s="3"/>
      <c r="G856" s="3"/>
      <c r="I856" s="391"/>
    </row>
    <row r="857" spans="1:9" ht="12.75" customHeight="1">
      <c r="A857" s="881"/>
      <c r="B857" s="386" t="s">
        <v>316</v>
      </c>
      <c r="C857" s="878"/>
      <c r="D857" s="1771" t="s">
        <v>556</v>
      </c>
      <c r="E857" s="1771"/>
      <c r="F857" s="1771"/>
      <c r="G857" s="3"/>
      <c r="I857" s="391"/>
    </row>
    <row r="858" spans="1:9" ht="12.75" customHeight="1">
      <c r="A858" s="257"/>
      <c r="B858" s="881"/>
      <c r="C858" s="878"/>
      <c r="D858" s="1771"/>
      <c r="E858" s="1771"/>
      <c r="F858" s="1771"/>
      <c r="G858" s="3"/>
      <c r="I858" s="391"/>
    </row>
    <row r="859" spans="1:9" ht="12.75" customHeight="1">
      <c r="A859" s="122"/>
      <c r="B859" s="257"/>
      <c r="C859" s="878"/>
      <c r="D859" s="1404" t="s">
        <v>557</v>
      </c>
      <c r="E859" s="1404"/>
      <c r="F859" s="1404"/>
      <c r="G859" s="3"/>
      <c r="I859" s="391"/>
    </row>
    <row r="860" spans="1:9" ht="12.75" customHeight="1">
      <c r="A860" s="122"/>
      <c r="B860" s="122"/>
      <c r="C860" s="878"/>
      <c r="D860" s="1404"/>
      <c r="E860" s="1404"/>
      <c r="F860" s="1404"/>
      <c r="G860" s="3"/>
      <c r="I860" s="391"/>
    </row>
    <row r="861" spans="1:9" ht="12.75" customHeight="1">
      <c r="A861" s="122"/>
      <c r="B861" s="122"/>
      <c r="C861" s="878"/>
      <c r="D861" s="1404"/>
      <c r="E861" s="1404"/>
      <c r="F861" s="1404"/>
      <c r="G861" s="3"/>
      <c r="I861" s="391"/>
    </row>
    <row r="862" spans="1:9" ht="12.75" customHeight="1">
      <c r="A862" s="122"/>
      <c r="B862" s="122"/>
      <c r="C862" s="878"/>
      <c r="D862" s="1404"/>
      <c r="E862" s="1404"/>
      <c r="F862" s="1404"/>
      <c r="G862" s="3"/>
      <c r="I862" s="391"/>
    </row>
    <row r="863" spans="1:9" ht="12.75" customHeight="1">
      <c r="A863" s="122"/>
      <c r="B863" s="122"/>
      <c r="C863" s="878"/>
      <c r="D863" s="1404"/>
      <c r="E863" s="1404"/>
      <c r="F863" s="1404"/>
      <c r="G863" s="3"/>
      <c r="I863" s="391"/>
    </row>
    <row r="864" spans="1:9" ht="12.75" customHeight="1">
      <c r="A864" s="122"/>
      <c r="B864" s="122"/>
      <c r="C864" s="878"/>
      <c r="D864" s="1404"/>
      <c r="E864" s="1404"/>
      <c r="F864" s="1404"/>
      <c r="G864" s="3"/>
      <c r="I864" s="391"/>
    </row>
    <row r="865" spans="1:9" ht="12.75" customHeight="1">
      <c r="A865" s="122"/>
      <c r="B865" s="122"/>
      <c r="C865" s="878"/>
      <c r="D865" s="84"/>
      <c r="E865" s="3"/>
      <c r="F865" s="3"/>
      <c r="G865" s="3"/>
      <c r="I865" s="391"/>
    </row>
    <row r="866" spans="1:9" ht="12.75" customHeight="1">
      <c r="A866" s="122"/>
      <c r="B866" s="386" t="s">
        <v>316</v>
      </c>
      <c r="C866" s="878"/>
      <c r="D866" s="1404" t="s">
        <v>558</v>
      </c>
      <c r="E866" s="1404"/>
      <c r="F866" s="1404"/>
      <c r="G866" s="3"/>
      <c r="I866" s="391" t="s">
        <v>559</v>
      </c>
    </row>
    <row r="867" spans="1:9" ht="12.75" customHeight="1">
      <c r="A867" s="122"/>
      <c r="B867" s="122"/>
      <c r="C867" s="878"/>
      <c r="D867" s="1404" t="s">
        <v>560</v>
      </c>
      <c r="E867" s="1404"/>
      <c r="F867" s="1404"/>
      <c r="G867" s="3"/>
      <c r="I867" s="391"/>
    </row>
    <row r="868" spans="1:9" ht="12.75" customHeight="1">
      <c r="A868" s="122"/>
      <c r="B868" s="122"/>
      <c r="C868" s="878"/>
      <c r="E868" s="922" t="s">
        <v>386</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404" t="s">
        <v>561</v>
      </c>
      <c r="E870" s="1404"/>
      <c r="F870" s="1404"/>
      <c r="G870" s="3"/>
      <c r="I870" s="391" t="s">
        <v>562</v>
      </c>
    </row>
    <row r="871" spans="1:9" ht="12.75" customHeight="1">
      <c r="A871" s="122"/>
      <c r="B871" s="122"/>
      <c r="C871" s="878"/>
      <c r="D871" s="1404"/>
      <c r="E871" s="1404"/>
      <c r="F871" s="1404"/>
      <c r="G871" s="3"/>
      <c r="I871" s="391"/>
    </row>
    <row r="872" spans="1:9" ht="12.75" customHeight="1">
      <c r="A872" s="122"/>
      <c r="B872" s="122"/>
      <c r="C872" s="878"/>
      <c r="D872" s="1404"/>
      <c r="E872" s="1404"/>
      <c r="F872" s="1404"/>
      <c r="G872" s="3"/>
      <c r="I872" s="391"/>
    </row>
    <row r="873" spans="1:9" ht="12.75" customHeight="1">
      <c r="A873" s="122"/>
      <c r="B873" s="122"/>
      <c r="C873" s="878"/>
      <c r="D873" s="1404"/>
      <c r="E873" s="1404"/>
      <c r="F873" s="1404"/>
      <c r="G873" s="3"/>
      <c r="I873" s="391"/>
    </row>
    <row r="874" spans="1:9" ht="12.75" customHeight="1">
      <c r="A874" s="119"/>
      <c r="B874" s="119"/>
      <c r="C874" s="119"/>
      <c r="D874" s="84"/>
      <c r="E874" s="3"/>
      <c r="F874" s="3"/>
      <c r="G874" s="3"/>
      <c r="I874" s="391"/>
    </row>
    <row r="875" spans="1:9" ht="12.75" customHeight="1">
      <c r="A875" s="872" t="s">
        <v>563</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54" t="s">
        <v>564</v>
      </c>
      <c r="E877" s="1754"/>
      <c r="F877" s="1754"/>
      <c r="G877" s="877"/>
      <c r="I877" s="391"/>
    </row>
    <row r="878" spans="1:9" ht="12.75" customHeight="1">
      <c r="A878" s="257"/>
      <c r="B878" s="257"/>
      <c r="C878" s="121"/>
      <c r="D878" s="1770" t="s">
        <v>565</v>
      </c>
      <c r="E878" s="1770"/>
      <c r="F878" s="1770"/>
      <c r="G878" s="877"/>
      <c r="I878" s="391"/>
    </row>
    <row r="879" spans="1:9" ht="12.75" customHeight="1">
      <c r="A879" s="257"/>
      <c r="B879" s="257"/>
      <c r="C879" s="121"/>
      <c r="D879" s="884"/>
      <c r="E879" s="884"/>
      <c r="F879" s="884"/>
      <c r="G879" s="877"/>
      <c r="I879" s="391"/>
    </row>
    <row r="880" spans="1:9" ht="12.75" customHeight="1">
      <c r="A880" s="122"/>
      <c r="B880" s="386" t="s">
        <v>311</v>
      </c>
      <c r="C880" s="257"/>
      <c r="D880" s="1755" t="s">
        <v>566</v>
      </c>
      <c r="E880" s="1755"/>
      <c r="F880" s="1755"/>
      <c r="G880" s="877"/>
      <c r="I880" s="391" t="s">
        <v>559</v>
      </c>
    </row>
    <row r="881" spans="1:9" ht="12.75" customHeight="1">
      <c r="A881" s="257"/>
      <c r="B881" s="257"/>
      <c r="C881" s="257"/>
      <c r="D881" s="2" t="s">
        <v>357</v>
      </c>
      <c r="E881" s="922" t="s">
        <v>386</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04" t="s">
        <v>567</v>
      </c>
      <c r="E883" s="1777"/>
      <c r="F883" s="1777"/>
      <c r="G883" s="3"/>
      <c r="I883" s="391" t="s">
        <v>562</v>
      </c>
    </row>
    <row r="884" spans="1:9" ht="12.75" customHeight="1">
      <c r="A884" s="257"/>
      <c r="B884" s="257"/>
      <c r="C884" s="257"/>
      <c r="D884" s="1777"/>
      <c r="E884" s="1777"/>
      <c r="F884" s="1777"/>
      <c r="G884" s="3"/>
      <c r="I884" s="391"/>
    </row>
    <row r="885" spans="1:9" ht="12.75" customHeight="1">
      <c r="A885" s="257"/>
      <c r="B885" s="257"/>
      <c r="C885" s="257"/>
      <c r="D885" s="84"/>
      <c r="E885" s="3"/>
      <c r="F885" s="3"/>
      <c r="G885" s="3"/>
      <c r="I885" s="391"/>
    </row>
    <row r="886" spans="1:9" ht="12.75" customHeight="1">
      <c r="A886" s="257"/>
      <c r="B886" s="386" t="s">
        <v>316</v>
      </c>
      <c r="C886" s="257"/>
      <c r="D886" s="1778" t="s">
        <v>568</v>
      </c>
      <c r="E886" s="1778"/>
      <c r="F886" s="1778"/>
      <c r="G886" s="877"/>
      <c r="I886" s="391"/>
    </row>
    <row r="887" spans="1:9" ht="12.75" customHeight="1">
      <c r="A887" s="257"/>
      <c r="B887" s="885"/>
      <c r="C887" s="257"/>
      <c r="D887" s="1778"/>
      <c r="E887" s="1778"/>
      <c r="F887" s="1778"/>
      <c r="G887" s="877"/>
      <c r="I887" s="391"/>
    </row>
    <row r="888" spans="1:9" ht="12.75" customHeight="1">
      <c r="A888" s="122"/>
      <c r="B888"/>
      <c r="C888" s="257"/>
      <c r="D888" s="1404" t="s">
        <v>557</v>
      </c>
      <c r="E888" s="1404"/>
      <c r="F888" s="1404"/>
      <c r="G888" s="877"/>
      <c r="I888" s="391"/>
    </row>
    <row r="889" spans="1:9" ht="12.75" customHeight="1">
      <c r="A889" s="122"/>
      <c r="B889" s="122"/>
      <c r="C889" s="257"/>
      <c r="D889" s="1404"/>
      <c r="E889" s="1404"/>
      <c r="F889" s="1404"/>
      <c r="G889" s="877"/>
      <c r="I889" s="391"/>
    </row>
    <row r="890" spans="1:9" ht="12.75" customHeight="1">
      <c r="A890" s="122"/>
      <c r="B890" s="122"/>
      <c r="C890" s="257"/>
      <c r="D890" s="1404"/>
      <c r="E890" s="1404"/>
      <c r="F890" s="1404"/>
      <c r="G890" s="877"/>
      <c r="I890" s="391"/>
    </row>
    <row r="891" spans="1:9" ht="12.75" customHeight="1">
      <c r="A891" s="122"/>
      <c r="B891" s="122"/>
      <c r="C891" s="257"/>
      <c r="D891" s="1404"/>
      <c r="E891" s="1404"/>
      <c r="F891" s="1404"/>
      <c r="G891" s="877"/>
      <c r="I891" s="391"/>
    </row>
    <row r="892" spans="1:9" ht="12.75" customHeight="1">
      <c r="A892" s="122"/>
      <c r="B892" s="122"/>
      <c r="C892" s="257"/>
      <c r="D892" s="1404"/>
      <c r="E892" s="1404"/>
      <c r="F892" s="1404"/>
      <c r="G892" s="877"/>
      <c r="I892" s="391"/>
    </row>
    <row r="893" spans="1:9" ht="12.75" customHeight="1">
      <c r="A893" s="122"/>
      <c r="B893" s="122"/>
      <c r="C893" s="257"/>
      <c r="D893" s="1404"/>
      <c r="E893" s="1404"/>
      <c r="F893" s="1404"/>
      <c r="G893" s="877"/>
      <c r="I893" s="391"/>
    </row>
    <row r="894" spans="1:9" ht="12.75" customHeight="1">
      <c r="A894" s="122"/>
      <c r="B894" s="122"/>
      <c r="C894" s="257"/>
      <c r="D894" s="84"/>
      <c r="E894" s="877"/>
      <c r="F894" s="877"/>
      <c r="G894" s="877"/>
      <c r="I894" s="391"/>
    </row>
    <row r="895" spans="1:9" ht="12.75" customHeight="1">
      <c r="A895" s="122"/>
      <c r="B895" s="386" t="s">
        <v>316</v>
      </c>
      <c r="C895" s="257"/>
      <c r="D895" s="1746" t="s">
        <v>558</v>
      </c>
      <c r="E895" s="1746"/>
      <c r="F895" s="1746"/>
      <c r="G895" s="877"/>
      <c r="I895" s="391"/>
    </row>
    <row r="896" spans="1:9" ht="12.75" customHeight="1">
      <c r="A896" s="122"/>
      <c r="B896" s="122"/>
      <c r="C896" s="257"/>
      <c r="D896" s="1746" t="s">
        <v>560</v>
      </c>
      <c r="E896" s="1746"/>
      <c r="F896" s="1746"/>
      <c r="G896" s="877"/>
      <c r="I896" s="391"/>
    </row>
    <row r="897" spans="1:9" ht="12.75" customHeight="1">
      <c r="A897" s="122"/>
      <c r="B897" s="122"/>
      <c r="C897" s="257"/>
      <c r="D897" s="2" t="s">
        <v>569</v>
      </c>
      <c r="E897" s="922" t="s">
        <v>386</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404" t="s">
        <v>561</v>
      </c>
      <c r="E899" s="1404"/>
      <c r="F899" s="1404"/>
      <c r="G899" s="877"/>
      <c r="I899" s="391"/>
    </row>
    <row r="900" spans="1:9" ht="12.75" customHeight="1">
      <c r="A900" s="122"/>
      <c r="B900" s="122"/>
      <c r="C900" s="257"/>
      <c r="D900" s="1404"/>
      <c r="E900" s="1404"/>
      <c r="F900" s="1404"/>
      <c r="G900" s="877"/>
      <c r="I900" s="391"/>
    </row>
    <row r="901" spans="1:9" ht="12.75" customHeight="1">
      <c r="A901" s="122"/>
      <c r="B901" s="122"/>
      <c r="C901" s="257"/>
      <c r="D901" s="1404"/>
      <c r="E901" s="1404"/>
      <c r="F901" s="1404"/>
      <c r="G901" s="877"/>
      <c r="I901" s="391"/>
    </row>
    <row r="902" spans="1:9" ht="12.75" customHeight="1">
      <c r="A902" s="122"/>
      <c r="B902" s="122"/>
      <c r="C902" s="257"/>
      <c r="D902" s="1404"/>
      <c r="E902" s="1404"/>
      <c r="F902" s="1404"/>
      <c r="G902" s="877"/>
      <c r="I902" s="391"/>
    </row>
    <row r="903" spans="1:9" ht="12.75" customHeight="1">
      <c r="A903" s="84"/>
      <c r="B903" s="84"/>
      <c r="C903" s="878"/>
      <c r="D903" s="877"/>
      <c r="E903" s="877"/>
      <c r="F903" s="877"/>
      <c r="G903" s="877"/>
      <c r="I903" s="391"/>
    </row>
    <row r="904" spans="1:9" ht="12.75" customHeight="1">
      <c r="A904" s="1751" t="s">
        <v>570</v>
      </c>
      <c r="B904" s="1751"/>
      <c r="C904" s="1751"/>
      <c r="D904" s="1751"/>
      <c r="E904" s="1751"/>
      <c r="F904" s="1751"/>
      <c r="G904" s="1751"/>
      <c r="H904" s="914"/>
      <c r="I904" s="1036"/>
    </row>
    <row r="905" spans="1:9" ht="12.75" customHeight="1">
      <c r="A905" s="49"/>
      <c r="B905" s="49"/>
      <c r="C905" s="49"/>
      <c r="D905" s="49"/>
      <c r="E905" s="49"/>
      <c r="F905" s="49"/>
      <c r="G905" s="49"/>
      <c r="I905" s="391"/>
    </row>
    <row r="906" spans="1:9" ht="12.75" customHeight="1">
      <c r="A906" s="49"/>
      <c r="B906" s="49"/>
      <c r="C906" s="49"/>
      <c r="D906" s="1749" t="s">
        <v>571</v>
      </c>
      <c r="E906" s="1749"/>
      <c r="F906" s="1749"/>
      <c r="G906" s="49"/>
      <c r="I906" s="391"/>
    </row>
    <row r="907" spans="1:9" ht="12.75" customHeight="1">
      <c r="A907" s="49"/>
      <c r="B907" s="49"/>
      <c r="C907" s="49"/>
      <c r="D907" s="870"/>
      <c r="E907" s="870"/>
      <c r="F907" s="870"/>
      <c r="G907" s="49"/>
      <c r="I907" s="391"/>
    </row>
    <row r="908" spans="1:9" ht="12.75" customHeight="1">
      <c r="A908" s="49"/>
      <c r="B908" s="386" t="s">
        <v>311</v>
      </c>
      <c r="C908" s="49"/>
      <c r="D908" s="873" t="s">
        <v>572</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49" t="s">
        <v>573</v>
      </c>
      <c r="E910" s="1749"/>
      <c r="F910" s="1749"/>
      <c r="G910" s="877"/>
      <c r="I910" s="391"/>
    </row>
    <row r="911" spans="1:9" ht="12.75" customHeight="1">
      <c r="A911" s="119"/>
      <c r="B911" s="119"/>
      <c r="C911" s="119"/>
      <c r="D911" s="1755" t="s">
        <v>574</v>
      </c>
      <c r="E911" s="1755"/>
      <c r="F911" s="1755"/>
      <c r="G911" s="877"/>
      <c r="I911" s="391"/>
    </row>
    <row r="912" spans="1:9" ht="12.75" customHeight="1">
      <c r="A912" s="878"/>
      <c r="B912" s="878"/>
      <c r="C912" s="878"/>
      <c r="D912" s="2"/>
      <c r="E912" s="877"/>
      <c r="F912" s="877"/>
      <c r="G912" s="877"/>
      <c r="I912" s="391"/>
    </row>
    <row r="913" spans="1:9" ht="12.75" customHeight="1">
      <c r="A913" s="122"/>
      <c r="B913" s="386" t="s">
        <v>311</v>
      </c>
      <c r="C913" s="257"/>
      <c r="D913" s="1404" t="s">
        <v>575</v>
      </c>
      <c r="E913" s="1404"/>
      <c r="F913" s="1404"/>
      <c r="G913" s="3"/>
      <c r="I913" s="391"/>
    </row>
    <row r="914" spans="1:9" ht="12.75" customHeight="1">
      <c r="A914" s="257"/>
      <c r="B914" s="257"/>
      <c r="C914" s="257"/>
      <c r="D914" s="1404"/>
      <c r="E914" s="1404"/>
      <c r="F914" s="1404"/>
      <c r="G914" s="3"/>
      <c r="I914" s="391"/>
    </row>
    <row r="915" spans="1:9" ht="12.75" customHeight="1">
      <c r="A915" s="119"/>
      <c r="B915" s="119"/>
      <c r="C915" s="119"/>
      <c r="D915" s="1404" t="s">
        <v>576</v>
      </c>
      <c r="E915" s="1404"/>
      <c r="F915" s="1404"/>
      <c r="G915" s="877"/>
      <c r="I915" s="391"/>
    </row>
    <row r="916" spans="1:9" ht="12.75" customHeight="1">
      <c r="A916" s="119"/>
      <c r="B916" s="119"/>
      <c r="C916" s="119"/>
      <c r="D916" s="1404"/>
      <c r="E916" s="1404"/>
      <c r="F916" s="1404"/>
      <c r="G916" s="877"/>
      <c r="I916" s="391"/>
    </row>
    <row r="917" spans="1:9" ht="12.75" customHeight="1">
      <c r="A917" s="119"/>
      <c r="B917" s="119"/>
      <c r="C917" s="119"/>
      <c r="D917" s="3"/>
      <c r="E917" s="3"/>
      <c r="F917" s="877"/>
      <c r="G917" s="877"/>
      <c r="I917" s="391"/>
    </row>
    <row r="918" spans="1:9" ht="12.75" customHeight="1">
      <c r="A918" s="122"/>
      <c r="B918" s="386" t="s">
        <v>311</v>
      </c>
      <c r="C918" s="121"/>
      <c r="D918" s="1738" t="s">
        <v>577</v>
      </c>
      <c r="E918" s="1738"/>
      <c r="F918" s="1738"/>
      <c r="G918" s="877"/>
      <c r="I918" s="391"/>
    </row>
    <row r="919" spans="1:9" ht="12.75" customHeight="1">
      <c r="A919" s="122"/>
      <c r="B919" s="122"/>
      <c r="C919" s="121"/>
      <c r="D919" s="1738"/>
      <c r="E919" s="1738"/>
      <c r="F919" s="1738"/>
      <c r="G919" s="877"/>
      <c r="I919" s="391"/>
    </row>
    <row r="920" spans="1:9" ht="12.75" customHeight="1">
      <c r="A920" s="122"/>
      <c r="B920" s="122"/>
      <c r="C920" s="121"/>
      <c r="D920" s="1738"/>
      <c r="E920" s="1738"/>
      <c r="F920" s="1738"/>
      <c r="G920" s="877"/>
      <c r="I920" s="391"/>
    </row>
    <row r="921" spans="1:9" ht="12.75" customHeight="1">
      <c r="A921" s="122"/>
      <c r="B921" s="122"/>
      <c r="C921" s="121"/>
      <c r="D921" s="1738"/>
      <c r="E921" s="1738"/>
      <c r="F921" s="1738"/>
      <c r="G921" s="877"/>
      <c r="I921" s="391"/>
    </row>
    <row r="922" spans="1:9" ht="12.75" customHeight="1">
      <c r="A922" s="122"/>
      <c r="B922" s="122"/>
      <c r="C922" s="121"/>
      <c r="D922" s="1738"/>
      <c r="E922" s="1738"/>
      <c r="F922" s="1738"/>
      <c r="G922" s="877"/>
      <c r="I922" s="391"/>
    </row>
    <row r="923" spans="1:9" ht="12.75" customHeight="1">
      <c r="A923" s="121"/>
      <c r="B923" s="121"/>
      <c r="C923" s="121"/>
      <c r="D923" s="1738"/>
      <c r="E923" s="1738"/>
      <c r="F923" s="1738"/>
      <c r="G923" s="877"/>
      <c r="I923" s="391"/>
    </row>
    <row r="924" spans="1:9" ht="12.75" customHeight="1">
      <c r="A924" s="121"/>
      <c r="B924" s="121"/>
      <c r="C924" s="121"/>
      <c r="D924" s="1738"/>
      <c r="E924" s="1738"/>
      <c r="F924" s="1738"/>
      <c r="G924" s="877"/>
      <c r="I924" s="391"/>
    </row>
    <row r="925" spans="1:9" ht="12.75" customHeight="1">
      <c r="A925" s="121"/>
      <c r="B925" s="121"/>
      <c r="C925" s="121"/>
      <c r="D925" s="1738"/>
      <c r="E925" s="1738"/>
      <c r="F925" s="1738"/>
      <c r="G925" s="877"/>
      <c r="I925" s="391"/>
    </row>
    <row r="926" spans="1:9" ht="12.75" customHeight="1">
      <c r="A926" s="121"/>
      <c r="B926" s="121"/>
      <c r="C926" s="121"/>
      <c r="D926" s="240"/>
      <c r="E926" s="240"/>
      <c r="F926" s="240"/>
      <c r="G926" s="877"/>
      <c r="I926" s="391"/>
    </row>
    <row r="927" spans="1:9" ht="12.75" customHeight="1">
      <c r="A927" s="878"/>
      <c r="B927" s="386" t="s">
        <v>316</v>
      </c>
      <c r="C927" s="878"/>
      <c r="D927" s="1404" t="s">
        <v>578</v>
      </c>
      <c r="E927" s="1404"/>
      <c r="F927" s="1404"/>
      <c r="G927" s="877"/>
      <c r="I927" s="391"/>
    </row>
    <row r="928" spans="1:9" ht="12.75" customHeight="1">
      <c r="A928" s="878"/>
      <c r="B928" s="878"/>
      <c r="C928" s="878"/>
      <c r="D928" s="1404"/>
      <c r="E928" s="1404"/>
      <c r="F928" s="1404"/>
      <c r="G928" s="877"/>
      <c r="I928" s="391"/>
    </row>
    <row r="929" spans="1:9" ht="12.75" customHeight="1">
      <c r="A929" s="878"/>
      <c r="B929" s="878"/>
      <c r="C929" s="878"/>
      <c r="D929" s="877"/>
      <c r="E929" s="877"/>
      <c r="F929" s="877"/>
      <c r="G929" s="877"/>
      <c r="I929" s="391"/>
    </row>
    <row r="930" spans="1:9" ht="12.75" customHeight="1">
      <c r="A930" s="878"/>
      <c r="B930" s="386" t="s">
        <v>316</v>
      </c>
      <c r="C930" s="878"/>
      <c r="D930" s="1753" t="s">
        <v>579</v>
      </c>
      <c r="E930" s="1753"/>
      <c r="F930" s="1753"/>
      <c r="G930" s="877"/>
      <c r="I930" s="391"/>
    </row>
    <row r="931" spans="1:9" ht="12.75" customHeight="1">
      <c r="A931" s="878"/>
      <c r="B931" s="878"/>
      <c r="C931" s="878"/>
      <c r="D931" s="1753"/>
      <c r="E931" s="1753"/>
      <c r="F931" s="1753"/>
      <c r="G931" s="877"/>
      <c r="I931" s="391"/>
    </row>
    <row r="932" spans="1:9" ht="12.75" customHeight="1">
      <c r="A932" s="878"/>
      <c r="B932" s="878"/>
      <c r="C932" s="878"/>
      <c r="D932" s="1753"/>
      <c r="E932" s="1753"/>
      <c r="F932" s="1753"/>
      <c r="G932" s="877"/>
      <c r="I932" s="391"/>
    </row>
    <row r="933" spans="1:9" ht="12.75" customHeight="1">
      <c r="A933" s="878"/>
      <c r="B933" s="878"/>
      <c r="C933" s="878"/>
      <c r="D933" s="1753"/>
      <c r="E933" s="1753"/>
      <c r="F933" s="1753"/>
      <c r="G933" s="877"/>
      <c r="I933" s="391"/>
    </row>
    <row r="934" spans="1:9" ht="12.75" customHeight="1">
      <c r="A934" s="878"/>
      <c r="B934" s="878"/>
      <c r="C934" s="878"/>
      <c r="D934" s="84"/>
      <c r="E934" s="877"/>
      <c r="F934" s="877"/>
      <c r="G934" s="877"/>
      <c r="I934" s="391"/>
    </row>
    <row r="935" spans="1:9" ht="12.75" customHeight="1">
      <c r="A935" s="878"/>
      <c r="B935" s="386" t="s">
        <v>316</v>
      </c>
      <c r="C935" s="878"/>
      <c r="D935" s="1755" t="s">
        <v>580</v>
      </c>
      <c r="E935" s="1755"/>
      <c r="F935" s="1755"/>
      <c r="G935" s="877"/>
      <c r="I935" s="391"/>
    </row>
    <row r="936" spans="1:9" ht="12.75" customHeight="1">
      <c r="A936" s="878"/>
      <c r="B936" s="878"/>
      <c r="C936" s="878"/>
      <c r="D936" s="84"/>
      <c r="E936" s="877"/>
      <c r="F936" s="877"/>
      <c r="G936" s="877"/>
      <c r="I936" s="391"/>
    </row>
    <row r="937" spans="1:9" ht="12.75" customHeight="1">
      <c r="A937" s="878"/>
      <c r="B937" s="386" t="s">
        <v>316</v>
      </c>
      <c r="C937" s="878"/>
      <c r="D937" s="1755" t="s">
        <v>581</v>
      </c>
      <c r="E937" s="1755"/>
      <c r="F937" s="1755"/>
      <c r="G937" s="877"/>
      <c r="I937" s="391"/>
    </row>
    <row r="938" spans="1:9" ht="12.75" customHeight="1">
      <c r="A938" s="121"/>
      <c r="B938" s="121"/>
      <c r="C938" s="121"/>
      <c r="D938" s="2"/>
      <c r="E938" s="3"/>
      <c r="F938" s="877"/>
      <c r="G938" s="877"/>
      <c r="I938" s="391"/>
    </row>
    <row r="939" spans="1:9" ht="12.75" customHeight="1">
      <c r="A939" s="886"/>
      <c r="B939" s="386" t="s">
        <v>311</v>
      </c>
      <c r="C939" s="887"/>
      <c r="D939" s="1738" t="s">
        <v>582</v>
      </c>
      <c r="E939" s="1738"/>
      <c r="F939" s="1738"/>
      <c r="G939" s="888"/>
      <c r="I939" s="391"/>
    </row>
    <row r="940" spans="1:9" ht="12.75" customHeight="1">
      <c r="A940" s="886"/>
      <c r="B940" s="886"/>
      <c r="C940" s="887"/>
      <c r="D940" s="1738"/>
      <c r="E940" s="1738"/>
      <c r="F940" s="1738"/>
      <c r="G940" s="888"/>
      <c r="I940" s="391"/>
    </row>
    <row r="941" spans="1:9" ht="12.75" customHeight="1">
      <c r="A941" s="886"/>
      <c r="B941" s="886"/>
      <c r="C941" s="887"/>
      <c r="D941" s="1738"/>
      <c r="E941" s="1738"/>
      <c r="F941" s="1738"/>
      <c r="G941" s="888"/>
      <c r="I941" s="391"/>
    </row>
    <row r="942" spans="1:9" ht="12.75" customHeight="1">
      <c r="A942" s="886"/>
      <c r="B942" s="886"/>
      <c r="C942" s="887"/>
      <c r="D942" s="1738"/>
      <c r="E942" s="1738"/>
      <c r="F942" s="1738"/>
      <c r="G942" s="888"/>
      <c r="I942" s="391"/>
    </row>
    <row r="943" spans="1:9" ht="12.75" customHeight="1">
      <c r="A943" s="886"/>
      <c r="B943" s="886"/>
      <c r="C943" s="887"/>
      <c r="D943" s="1738"/>
      <c r="E943" s="1738"/>
      <c r="F943" s="1738"/>
      <c r="G943" s="888"/>
      <c r="I943" s="391"/>
    </row>
    <row r="944" spans="1:9" ht="12.75" customHeight="1">
      <c r="A944" s="886"/>
      <c r="B944" s="886"/>
      <c r="C944" s="887"/>
      <c r="D944" s="1738"/>
      <c r="E944" s="1738"/>
      <c r="F944" s="1738"/>
      <c r="G944" s="888"/>
      <c r="I944" s="391"/>
    </row>
    <row r="945" spans="1:9" ht="12.75" customHeight="1">
      <c r="A945" s="886"/>
      <c r="B945" s="886"/>
      <c r="C945" s="887"/>
      <c r="D945" s="1738"/>
      <c r="E945" s="1738"/>
      <c r="F945" s="1738"/>
      <c r="G945" s="888"/>
      <c r="I945" s="391"/>
    </row>
    <row r="946" spans="1:9" ht="12.75" customHeight="1">
      <c r="A946" s="886"/>
      <c r="B946" s="886"/>
      <c r="C946" s="887"/>
      <c r="D946" s="1738"/>
      <c r="E946" s="1738"/>
      <c r="F946" s="1738"/>
      <c r="G946" s="888"/>
      <c r="I946" s="391"/>
    </row>
    <row r="947" spans="1:9" ht="12.75" customHeight="1">
      <c r="A947" s="886"/>
      <c r="B947" s="886"/>
      <c r="C947" s="887"/>
      <c r="D947" s="1738"/>
      <c r="E947" s="1738"/>
      <c r="F947" s="1738"/>
      <c r="G947" s="888"/>
      <c r="I947" s="391"/>
    </row>
    <row r="948" spans="1:9" ht="12.75" customHeight="1">
      <c r="A948" s="121"/>
      <c r="B948" s="121"/>
      <c r="C948" s="121"/>
      <c r="D948" s="2"/>
      <c r="E948" s="3"/>
      <c r="F948" s="877"/>
      <c r="G948" s="877"/>
      <c r="I948" s="391"/>
    </row>
    <row r="949" spans="1:9" ht="12.75" customHeight="1">
      <c r="A949" s="122"/>
      <c r="B949" s="386" t="s">
        <v>311</v>
      </c>
      <c r="C949" s="121"/>
      <c r="D949" s="1761" t="s">
        <v>583</v>
      </c>
      <c r="E949" s="1761"/>
      <c r="F949" s="1761"/>
      <c r="G949" s="877"/>
      <c r="I949" s="391"/>
    </row>
    <row r="950" spans="1:9" ht="12.75" customHeight="1">
      <c r="A950" s="122"/>
      <c r="B950" s="122"/>
      <c r="C950" s="121"/>
      <c r="D950" s="1761"/>
      <c r="E950" s="1761"/>
      <c r="F950" s="1761"/>
      <c r="G950" s="877"/>
      <c r="I950" s="391"/>
    </row>
    <row r="951" spans="1:9" ht="12.75" customHeight="1">
      <c r="A951" s="122"/>
      <c r="B951" s="122"/>
      <c r="C951" s="121"/>
      <c r="D951" s="1761"/>
      <c r="E951" s="1761"/>
      <c r="F951" s="1761"/>
      <c r="G951" s="877"/>
      <c r="I951" s="391"/>
    </row>
    <row r="952" spans="1:9" ht="12.75" customHeight="1">
      <c r="A952" s="122"/>
      <c r="B952" s="122"/>
      <c r="C952" s="121"/>
      <c r="D952" s="1761"/>
      <c r="E952" s="1761"/>
      <c r="F952" s="1761"/>
      <c r="G952" s="877"/>
      <c r="I952" s="391"/>
    </row>
    <row r="953" spans="1:9" ht="12.75" customHeight="1">
      <c r="A953" s="122"/>
      <c r="B953" s="122"/>
      <c r="C953" s="121"/>
      <c r="D953" s="1761"/>
      <c r="E953" s="1761"/>
      <c r="F953" s="1761"/>
      <c r="G953" s="877"/>
      <c r="I953" s="391"/>
    </row>
    <row r="954" spans="1:9" ht="12.75" customHeight="1">
      <c r="A954" s="122"/>
      <c r="B954" s="122"/>
      <c r="C954" s="121"/>
      <c r="D954" s="1761"/>
      <c r="E954" s="1761"/>
      <c r="F954" s="1761"/>
      <c r="G954" s="877"/>
      <c r="I954" s="391"/>
    </row>
    <row r="955" spans="1:9" ht="12.75" customHeight="1">
      <c r="A955" s="122"/>
      <c r="B955" s="122"/>
      <c r="C955" s="121"/>
      <c r="D955" s="1761"/>
      <c r="E955" s="1761"/>
      <c r="F955" s="1761"/>
      <c r="G955" s="877"/>
      <c r="I955" s="391"/>
    </row>
    <row r="956" spans="1:9" ht="12.75" customHeight="1">
      <c r="A956" s="122"/>
      <c r="B956" s="122"/>
      <c r="C956" s="121"/>
      <c r="D956" s="912"/>
      <c r="E956" s="912"/>
      <c r="F956" s="912"/>
      <c r="G956" s="877"/>
      <c r="I956" s="391"/>
    </row>
    <row r="957" spans="1:9" ht="12.75" customHeight="1">
      <c r="A957" s="122"/>
      <c r="B957" s="386" t="s">
        <v>311</v>
      </c>
      <c r="C957" s="121"/>
      <c r="D957" s="1737" t="s">
        <v>584</v>
      </c>
      <c r="E957" s="1737"/>
      <c r="F957" s="1737"/>
      <c r="G957" s="877"/>
      <c r="I957" s="391"/>
    </row>
    <row r="958" spans="1:9" ht="12.75" customHeight="1">
      <c r="A958" s="122"/>
      <c r="B958" s="122"/>
      <c r="C958" s="121"/>
      <c r="D958" s="1737"/>
      <c r="E958" s="1737"/>
      <c r="F958" s="1737"/>
      <c r="G958" s="877"/>
      <c r="I958" s="391"/>
    </row>
    <row r="959" spans="1:9" ht="12.75" customHeight="1">
      <c r="A959" s="122"/>
      <c r="B959" s="122"/>
      <c r="C959" s="121"/>
      <c r="D959" s="1737"/>
      <c r="E959" s="1737"/>
      <c r="F959" s="1737"/>
      <c r="G959" s="877"/>
      <c r="I959" s="391"/>
    </row>
    <row r="960" spans="1:9" ht="12.75" customHeight="1">
      <c r="A960" s="122"/>
      <c r="B960" s="122"/>
      <c r="C960" s="121"/>
      <c r="D960" s="1737"/>
      <c r="E960" s="1737"/>
      <c r="F960" s="1737"/>
      <c r="G960" s="877"/>
      <c r="I960" s="391"/>
    </row>
    <row r="961" spans="1:9" ht="12.75" customHeight="1">
      <c r="A961" s="122"/>
      <c r="B961" s="122"/>
      <c r="C961" s="121"/>
      <c r="D961" s="1737"/>
      <c r="E961" s="1737"/>
      <c r="F961" s="1737"/>
      <c r="G961" s="877"/>
      <c r="I961" s="391"/>
    </row>
    <row r="962" spans="1:9" ht="12.75" customHeight="1">
      <c r="A962" s="122"/>
      <c r="B962" s="122"/>
      <c r="C962" s="121"/>
      <c r="D962" s="1737"/>
      <c r="E962" s="1737"/>
      <c r="F962" s="1737"/>
      <c r="G962" s="877"/>
      <c r="I962" s="391"/>
    </row>
    <row r="963" spans="1:9" ht="12.75" customHeight="1">
      <c r="A963" s="122"/>
      <c r="B963" s="122"/>
      <c r="C963" s="121"/>
      <c r="D963" s="912"/>
      <c r="E963" s="912"/>
      <c r="F963" s="912"/>
      <c r="G963" s="877"/>
      <c r="I963" s="391"/>
    </row>
    <row r="964" spans="1:9" ht="12.75" customHeight="1">
      <c r="A964" s="878"/>
      <c r="B964" s="386" t="s">
        <v>316</v>
      </c>
      <c r="C964" s="878"/>
      <c r="D964" s="1753" t="s">
        <v>585</v>
      </c>
      <c r="E964" s="1753"/>
      <c r="F964" s="1753"/>
      <c r="G964" s="877"/>
      <c r="I964" s="391"/>
    </row>
    <row r="965" spans="1:9" ht="12.75" customHeight="1">
      <c r="A965" s="878"/>
      <c r="B965" s="878"/>
      <c r="C965" s="878"/>
      <c r="D965" s="1753"/>
      <c r="E965" s="1753"/>
      <c r="F965" s="1753"/>
      <c r="G965" s="877"/>
      <c r="I965" s="391"/>
    </row>
    <row r="966" spans="1:9" ht="12.75" customHeight="1">
      <c r="A966" s="878"/>
      <c r="B966" s="878"/>
      <c r="C966" s="878"/>
      <c r="D966" s="1753"/>
      <c r="E966" s="1753"/>
      <c r="F966" s="1753"/>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38" t="s">
        <v>586</v>
      </c>
      <c r="E969" s="1738"/>
      <c r="F969" s="1738"/>
      <c r="G969" s="877"/>
      <c r="I969" s="391"/>
    </row>
    <row r="970" spans="1:9" ht="12.75" customHeight="1">
      <c r="A970" s="122"/>
      <c r="B970" s="122"/>
      <c r="C970" s="121"/>
      <c r="D970" s="1738"/>
      <c r="E970" s="1738"/>
      <c r="F970" s="1738"/>
      <c r="G970" s="877"/>
      <c r="I970" s="391"/>
    </row>
    <row r="971" spans="1:9" ht="12.75" customHeight="1">
      <c r="A971" s="122"/>
      <c r="B971" s="122"/>
      <c r="C971" s="121"/>
      <c r="D971" s="1738"/>
      <c r="E971" s="1738"/>
      <c r="F971" s="1738"/>
      <c r="G971" s="877"/>
      <c r="I971" s="391"/>
    </row>
    <row r="972" spans="1:9" ht="12.75" customHeight="1">
      <c r="A972" s="122"/>
      <c r="B972" s="122"/>
      <c r="C972" s="121"/>
      <c r="D972" s="1738"/>
      <c r="E972" s="1738"/>
      <c r="F972" s="1738"/>
      <c r="G972" s="877"/>
      <c r="I972" s="391"/>
    </row>
    <row r="973" spans="1:9" ht="12.75" customHeight="1">
      <c r="A973" s="878"/>
      <c r="B973" s="878"/>
      <c r="C973" s="878"/>
      <c r="D973" s="869"/>
      <c r="E973" s="869"/>
      <c r="F973" s="869"/>
      <c r="G973" s="869"/>
      <c r="I973" s="391"/>
    </row>
    <row r="974" spans="1:9" ht="12.75" customHeight="1">
      <c r="A974" s="257"/>
      <c r="B974" s="257"/>
      <c r="C974" s="257"/>
      <c r="D974" s="1754" t="s">
        <v>587</v>
      </c>
      <c r="E974" s="1754"/>
      <c r="F974" s="1754"/>
      <c r="G974" s="3"/>
      <c r="I974" s="391"/>
    </row>
    <row r="975" spans="1:9" ht="12.75" customHeight="1">
      <c r="A975" s="122"/>
      <c r="B975" s="386" t="s">
        <v>316</v>
      </c>
      <c r="C975" s="257"/>
      <c r="D975" s="1755" t="s">
        <v>588</v>
      </c>
      <c r="E975" s="1755"/>
      <c r="F975" s="1755"/>
      <c r="G975" s="3"/>
      <c r="I975" s="391"/>
    </row>
    <row r="976" spans="1:9" ht="12.75" customHeight="1">
      <c r="A976" s="257"/>
      <c r="B976" s="257"/>
      <c r="C976" s="257"/>
      <c r="D976" s="3"/>
      <c r="E976" s="3"/>
      <c r="F976" s="3"/>
      <c r="G976" s="3"/>
      <c r="I976" s="391"/>
    </row>
    <row r="977" spans="1:9" ht="12.75" customHeight="1">
      <c r="A977" s="257"/>
      <c r="B977" s="257"/>
      <c r="C977" s="257"/>
      <c r="D977" s="1754" t="s">
        <v>589</v>
      </c>
      <c r="E977" s="1754"/>
      <c r="F977" s="1754"/>
      <c r="G977"/>
      <c r="I977" s="391"/>
    </row>
    <row r="978" spans="1:9" ht="12.75" customHeight="1">
      <c r="A978" s="122"/>
      <c r="B978" s="386" t="s">
        <v>316</v>
      </c>
      <c r="C978" s="257"/>
      <c r="D978" s="1404" t="s">
        <v>590</v>
      </c>
      <c r="E978" s="1404"/>
      <c r="F978" s="1404"/>
      <c r="G978"/>
      <c r="I978" s="391"/>
    </row>
    <row r="979" spans="1:9" ht="12.75" customHeight="1">
      <c r="A979" s="122"/>
      <c r="B979" s="122"/>
      <c r="C979" s="257"/>
      <c r="D979" s="1404"/>
      <c r="E979" s="1404"/>
      <c r="F979" s="1404"/>
      <c r="G979"/>
      <c r="I979" s="391"/>
    </row>
    <row r="980" spans="1:9" ht="12.75" customHeight="1">
      <c r="A980" s="122"/>
      <c r="B980" s="122"/>
      <c r="C980" s="257"/>
      <c r="D980" s="1404"/>
      <c r="E980" s="1404"/>
      <c r="F980" s="1404"/>
      <c r="G980"/>
      <c r="I980" s="391"/>
    </row>
    <row r="981" spans="1:9" ht="12.75" customHeight="1">
      <c r="A981" s="122"/>
      <c r="B981" s="122"/>
      <c r="C981" s="257"/>
      <c r="D981" s="1404"/>
      <c r="E981" s="1404"/>
      <c r="F981" s="1404"/>
      <c r="G981"/>
      <c r="I981" s="391"/>
    </row>
    <row r="982" spans="1:9" ht="12.75" customHeight="1">
      <c r="A982" s="122"/>
      <c r="B982" s="122"/>
      <c r="C982" s="257"/>
      <c r="D982" s="1404"/>
      <c r="E982" s="1404"/>
      <c r="F982" s="1404"/>
      <c r="G982"/>
      <c r="I982" s="391"/>
    </row>
    <row r="983" spans="1:9" ht="12.75" customHeight="1">
      <c r="A983" s="122"/>
      <c r="B983" s="122"/>
      <c r="C983" s="257"/>
      <c r="D983" s="1404"/>
      <c r="E983" s="1404"/>
      <c r="F983" s="1404"/>
      <c r="G983"/>
      <c r="I983" s="391"/>
    </row>
    <row r="984" spans="1:9" ht="12.75" customHeight="1">
      <c r="A984" s="122"/>
      <c r="B984" s="122"/>
      <c r="C984" s="257"/>
      <c r="D984" s="1404"/>
      <c r="E984" s="1404"/>
      <c r="F984" s="1404"/>
      <c r="G984"/>
      <c r="I984" s="391"/>
    </row>
    <row r="985" spans="1:9" ht="12.75" customHeight="1">
      <c r="A985" s="122"/>
      <c r="B985" s="122"/>
      <c r="C985" s="257"/>
      <c r="D985" s="1404"/>
      <c r="E985" s="1404"/>
      <c r="F985" s="1404"/>
      <c r="G985"/>
      <c r="I985" s="391"/>
    </row>
    <row r="986" spans="1:9" ht="12.75" customHeight="1">
      <c r="A986" s="122"/>
      <c r="B986" s="122"/>
      <c r="C986" s="257"/>
      <c r="D986" s="1404"/>
      <c r="E986" s="1404"/>
      <c r="F986" s="1404"/>
      <c r="G986"/>
      <c r="I986" s="391"/>
    </row>
    <row r="987" spans="1:9" ht="12.75" customHeight="1">
      <c r="A987" s="122"/>
      <c r="B987" s="122"/>
      <c r="C987" s="257"/>
      <c r="D987" s="1404"/>
      <c r="E987" s="1404"/>
      <c r="F987" s="1404"/>
      <c r="G987"/>
      <c r="I987" s="391"/>
    </row>
    <row r="988" spans="1:9" ht="12.75" customHeight="1">
      <c r="A988" s="122"/>
      <c r="B988" s="122"/>
      <c r="C988" s="257"/>
      <c r="D988" s="1404"/>
      <c r="E988" s="1404"/>
      <c r="F988" s="1404"/>
      <c r="G988"/>
      <c r="I988" s="391"/>
    </row>
    <row r="989" spans="1:9" ht="12.75" customHeight="1">
      <c r="A989" s="122"/>
      <c r="B989" s="122"/>
      <c r="C989" s="257"/>
      <c r="D989" s="1404"/>
      <c r="E989" s="1404"/>
      <c r="F989" s="1404"/>
      <c r="G989"/>
      <c r="I989" s="391"/>
    </row>
    <row r="990" spans="1:9" ht="12.75" customHeight="1">
      <c r="A990" s="122"/>
      <c r="B990" s="122"/>
      <c r="C990" s="257"/>
      <c r="D990" s="1404"/>
      <c r="E990" s="1404"/>
      <c r="F990" s="1404"/>
      <c r="G990"/>
      <c r="I990" s="391"/>
    </row>
    <row r="991" spans="1:9" ht="12.75" customHeight="1">
      <c r="A991" s="122"/>
      <c r="B991" s="122"/>
      <c r="C991" s="257"/>
      <c r="D991" s="1404"/>
      <c r="E991" s="1404"/>
      <c r="F991" s="1404"/>
      <c r="G991"/>
      <c r="I991" s="391"/>
    </row>
    <row r="992" spans="1:9" ht="12.75" customHeight="1">
      <c r="A992" s="122"/>
      <c r="B992" s="122"/>
      <c r="C992" s="257"/>
      <c r="D992" s="1404"/>
      <c r="E992" s="1404"/>
      <c r="F992" s="1404"/>
      <c r="G992" s="3"/>
      <c r="I992" s="391"/>
    </row>
    <row r="993" spans="1:9" ht="12.75" customHeight="1">
      <c r="A993" s="257"/>
      <c r="B993" s="257"/>
      <c r="C993" s="257"/>
      <c r="D993" s="3"/>
      <c r="E993" s="3"/>
      <c r="F993" s="3"/>
      <c r="G993" s="3"/>
      <c r="I993" s="391"/>
    </row>
    <row r="994" spans="1:9" ht="12.75" customHeight="1">
      <c r="A994" s="1751" t="s">
        <v>591</v>
      </c>
      <c r="B994" s="1751"/>
      <c r="C994" s="1751"/>
      <c r="D994" s="1751"/>
      <c r="E994" s="1751"/>
      <c r="F994" s="1751"/>
      <c r="G994" s="1751"/>
      <c r="H994" s="914"/>
      <c r="I994" s="1036"/>
    </row>
    <row r="995" spans="1:9" ht="12.75" customHeight="1">
      <c r="A995" s="84"/>
      <c r="B995" s="84"/>
      <c r="C995" s="257"/>
      <c r="D995" s="3"/>
      <c r="E995" s="3"/>
      <c r="F995" s="3"/>
      <c r="G995" s="3"/>
      <c r="I995" s="391"/>
    </row>
    <row r="996" spans="1:9" ht="12.75" customHeight="1">
      <c r="A996" s="257"/>
      <c r="B996" s="257"/>
      <c r="C996" s="878"/>
      <c r="D996" s="1754" t="s">
        <v>592</v>
      </c>
      <c r="E996" s="1754"/>
      <c r="F996" s="1754"/>
      <c r="G996" s="3"/>
      <c r="I996" s="391"/>
    </row>
    <row r="997" spans="1:9" ht="12.75" customHeight="1">
      <c r="A997" s="119"/>
      <c r="B997" s="119"/>
      <c r="C997" s="119"/>
      <c r="D997" s="1755" t="s">
        <v>593</v>
      </c>
      <c r="E997" s="1755"/>
      <c r="F997" s="1755"/>
      <c r="G997" s="3"/>
      <c r="I997" s="391"/>
    </row>
    <row r="998" spans="1:9" ht="12.75" customHeight="1">
      <c r="A998" s="119"/>
      <c r="B998" s="119"/>
      <c r="C998" s="119"/>
      <c r="D998" s="3"/>
      <c r="E998" s="3"/>
      <c r="F998" s="877"/>
      <c r="G998"/>
      <c r="I998" s="391"/>
    </row>
    <row r="999" spans="1:9" ht="12.75" customHeight="1">
      <c r="A999" s="257"/>
      <c r="B999" s="386" t="s">
        <v>311</v>
      </c>
      <c r="C999" s="257"/>
      <c r="D999" s="1756" t="s">
        <v>594</v>
      </c>
      <c r="E999" s="1756"/>
      <c r="F999" s="1756"/>
      <c r="G999"/>
      <c r="I999" s="391"/>
    </row>
    <row r="1000" spans="1:9" ht="12.75" customHeight="1">
      <c r="A1000" s="257"/>
      <c r="B1000" s="257"/>
      <c r="C1000" s="257"/>
      <c r="D1000" s="1756"/>
      <c r="E1000" s="1756"/>
      <c r="F1000" s="1756"/>
      <c r="G1000"/>
      <c r="I1000" s="391"/>
    </row>
    <row r="1001" spans="1:9" ht="12.75" customHeight="1">
      <c r="A1001" s="257"/>
      <c r="B1001" s="257"/>
      <c r="C1001" s="257"/>
      <c r="D1001" s="924"/>
      <c r="E1001" s="922" t="s">
        <v>595</v>
      </c>
      <c r="F1001" s="924"/>
      <c r="G1001"/>
      <c r="I1001" s="391"/>
    </row>
    <row r="1002" spans="1:9" ht="12.75" customHeight="1">
      <c r="A1002" s="257"/>
      <c r="B1002" s="257"/>
      <c r="C1002" s="257"/>
      <c r="D1002" s="1479" t="s">
        <v>596</v>
      </c>
      <c r="E1002" s="1479"/>
      <c r="F1002" s="1479"/>
      <c r="G1002"/>
      <c r="I1002" s="391"/>
    </row>
    <row r="1003" spans="1:9" ht="12.75" customHeight="1">
      <c r="A1003" s="257"/>
      <c r="B1003" s="257"/>
      <c r="C1003" s="257"/>
      <c r="D1003" s="1479"/>
      <c r="E1003" s="1479"/>
      <c r="F1003" s="1479"/>
      <c r="G1003"/>
      <c r="I1003" s="391"/>
    </row>
    <row r="1004" spans="1:9" ht="12.75" customHeight="1">
      <c r="A1004" s="121"/>
      <c r="B1004" s="121"/>
      <c r="C1004" s="121"/>
      <c r="D1004" s="1479"/>
      <c r="E1004" s="1479"/>
      <c r="F1004" s="1479"/>
      <c r="G1004"/>
      <c r="I1004" s="391"/>
    </row>
    <row r="1005" spans="1:9" ht="12.75" customHeight="1">
      <c r="A1005" s="121"/>
      <c r="B1005" s="121"/>
      <c r="C1005" s="121"/>
      <c r="D1005" s="1479"/>
      <c r="E1005" s="1479"/>
      <c r="F1005" s="1479"/>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404" t="s">
        <v>597</v>
      </c>
      <c r="E1007" s="1404"/>
      <c r="F1007" s="1404"/>
      <c r="G1007"/>
      <c r="I1007" s="391"/>
    </row>
    <row r="1008" spans="1:9" ht="12.75" customHeight="1">
      <c r="A1008" s="121"/>
      <c r="B1008" s="121"/>
      <c r="C1008" s="121"/>
      <c r="D1008" s="1404"/>
      <c r="E1008" s="1404"/>
      <c r="F1008" s="1404"/>
      <c r="G1008"/>
      <c r="I1008" s="391"/>
    </row>
    <row r="1009" spans="1:9" ht="12.75" customHeight="1">
      <c r="A1009" s="121"/>
      <c r="B1009" s="121"/>
      <c r="C1009" s="121"/>
      <c r="D1009" s="1404"/>
      <c r="E1009" s="1404"/>
      <c r="F1009" s="1404"/>
      <c r="G1009"/>
      <c r="I1009" s="391"/>
    </row>
    <row r="1010" spans="1:9" ht="12.75" customHeight="1">
      <c r="A1010" s="121"/>
      <c r="B1010" s="121"/>
      <c r="C1010" s="121"/>
      <c r="D1010" s="1404"/>
      <c r="E1010" s="1404"/>
      <c r="F1010" s="1404"/>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404" t="s">
        <v>598</v>
      </c>
      <c r="E1012" s="1404"/>
      <c r="F1012" s="1404"/>
      <c r="G1012"/>
      <c r="I1012" s="391"/>
    </row>
    <row r="1013" spans="1:9" ht="12.75" customHeight="1">
      <c r="A1013" s="121"/>
      <c r="B1013" s="121"/>
      <c r="C1013" s="121"/>
      <c r="D1013" s="1404"/>
      <c r="E1013" s="1404"/>
      <c r="F1013" s="1404"/>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55" t="s">
        <v>599</v>
      </c>
      <c r="E1015" s="1755"/>
      <c r="F1015" s="1755"/>
      <c r="G1015"/>
      <c r="I1015" s="391"/>
    </row>
    <row r="1016" spans="1:9" ht="12.75" customHeight="1">
      <c r="A1016" s="257"/>
      <c r="B1016" s="257"/>
      <c r="C1016" s="257"/>
      <c r="D1016" s="3"/>
      <c r="E1016" s="3"/>
      <c r="F1016" s="3"/>
      <c r="G1016"/>
      <c r="I1016" s="391"/>
    </row>
    <row r="1017" spans="1:9" ht="12.75" customHeight="1">
      <c r="A1017" s="122"/>
      <c r="B1017" s="386" t="s">
        <v>316</v>
      </c>
      <c r="C1017" s="257"/>
      <c r="D1017" s="1755" t="s">
        <v>600</v>
      </c>
      <c r="E1017" s="1755"/>
      <c r="F1017" s="1755"/>
      <c r="G1017"/>
      <c r="I1017" s="391"/>
    </row>
    <row r="1018" spans="1:9" ht="12.75" customHeight="1">
      <c r="A1018" s="257"/>
      <c r="B1018" s="257"/>
      <c r="C1018" s="257"/>
      <c r="D1018" s="84"/>
      <c r="E1018" s="3"/>
      <c r="F1018" s="3"/>
      <c r="G1018"/>
      <c r="I1018" s="391"/>
    </row>
    <row r="1019" spans="1:9" ht="12.75" customHeight="1">
      <c r="A1019" s="122"/>
      <c r="B1019" s="386" t="s">
        <v>311</v>
      </c>
      <c r="C1019" s="257"/>
      <c r="D1019" s="1755" t="s">
        <v>601</v>
      </c>
      <c r="E1019" s="1755"/>
      <c r="F1019" s="1755"/>
      <c r="G1019"/>
      <c r="I1019" s="391"/>
    </row>
    <row r="1020" spans="1:9" ht="12.75" customHeight="1">
      <c r="A1020" s="257"/>
      <c r="B1020" s="257"/>
      <c r="C1020" s="257"/>
      <c r="D1020" s="84"/>
      <c r="E1020" s="3"/>
      <c r="F1020" s="3"/>
      <c r="G1020"/>
      <c r="I1020" s="391"/>
    </row>
    <row r="1021" spans="1:9" ht="12.75" customHeight="1">
      <c r="A1021" s="122"/>
      <c r="B1021" s="386" t="s">
        <v>311</v>
      </c>
      <c r="C1021" s="257"/>
      <c r="D1021" s="1404" t="s">
        <v>602</v>
      </c>
      <c r="E1021" s="1404"/>
      <c r="F1021" s="1404"/>
      <c r="G1021"/>
      <c r="I1021" s="391"/>
    </row>
    <row r="1022" spans="1:9" ht="12.75" customHeight="1">
      <c r="A1022" s="122"/>
      <c r="B1022" s="122"/>
      <c r="C1022" s="257"/>
      <c r="D1022" s="1404"/>
      <c r="E1022" s="1404"/>
      <c r="F1022" s="1404"/>
      <c r="G1022"/>
      <c r="I1022" s="391"/>
    </row>
    <row r="1023" spans="1:9" ht="12.75" customHeight="1">
      <c r="A1023" s="122"/>
      <c r="B1023" s="122"/>
      <c r="C1023" s="257"/>
      <c r="D1023" s="84"/>
      <c r="E1023" s="3"/>
      <c r="F1023" s="3"/>
      <c r="G1023" s="3"/>
      <c r="I1023" s="391"/>
    </row>
    <row r="1024" spans="1:9" ht="12.75" customHeight="1">
      <c r="A1024" s="169"/>
      <c r="B1024" s="386" t="s">
        <v>316</v>
      </c>
      <c r="C1024" s="889"/>
      <c r="D1024" s="1757" t="s">
        <v>603</v>
      </c>
      <c r="E1024" s="1757"/>
      <c r="F1024" s="1757"/>
      <c r="G1024" s="890"/>
      <c r="I1024" s="391"/>
    </row>
    <row r="1025" spans="1:9" ht="12.75" customHeight="1">
      <c r="A1025" s="889"/>
      <c r="B1025" s="889"/>
      <c r="C1025" s="889"/>
      <c r="D1025" s="1757"/>
      <c r="E1025" s="1757"/>
      <c r="F1025" s="1757"/>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750" t="s">
        <v>604</v>
      </c>
      <c r="E1027" s="1750"/>
      <c r="F1027" s="1750"/>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755" t="s">
        <v>605</v>
      </c>
      <c r="E1029" s="1755"/>
      <c r="F1029" s="1755"/>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404" t="s">
        <v>606</v>
      </c>
      <c r="E1031" s="1404"/>
      <c r="F1031" s="1404"/>
      <c r="G1031" s="3"/>
      <c r="I1031" s="391"/>
    </row>
    <row r="1032" spans="1:9" ht="12.75" customHeight="1">
      <c r="A1032" s="122"/>
      <c r="B1032" s="122"/>
      <c r="C1032" s="257"/>
      <c r="D1032" s="1404"/>
      <c r="E1032" s="1404"/>
      <c r="F1032" s="1404"/>
      <c r="G1032" s="3"/>
      <c r="I1032" s="391"/>
    </row>
    <row r="1033" spans="1:9" ht="12.75" customHeight="1">
      <c r="A1033" s="257"/>
      <c r="B1033" s="257"/>
      <c r="C1033" s="257"/>
      <c r="D1033" s="3"/>
      <c r="E1033" s="3"/>
      <c r="F1033" s="3"/>
      <c r="G1033" s="3"/>
      <c r="I1033" s="391"/>
    </row>
    <row r="1034" spans="1:9" ht="12.75" customHeight="1">
      <c r="A1034" s="1751" t="s">
        <v>607</v>
      </c>
      <c r="B1034" s="1751"/>
      <c r="C1034" s="1751"/>
      <c r="D1034" s="1751"/>
      <c r="E1034" s="1751"/>
      <c r="F1034" s="1751"/>
      <c r="G1034" s="1751"/>
      <c r="H1034" s="914"/>
      <c r="I1034" s="1036"/>
    </row>
    <row r="1035" spans="1:9" ht="12.75" customHeight="1">
      <c r="A1035" s="257"/>
      <c r="B1035" s="257"/>
      <c r="C1035" s="257"/>
      <c r="D1035" s="3"/>
      <c r="E1035" s="3"/>
      <c r="F1035" s="3"/>
      <c r="G1035" s="3"/>
      <c r="I1035" s="391"/>
    </row>
    <row r="1036" spans="1:9" ht="12.75" customHeight="1">
      <c r="A1036" s="257"/>
      <c r="B1036" s="257"/>
      <c r="C1036" s="257"/>
      <c r="D1036" s="1749" t="s">
        <v>608</v>
      </c>
      <c r="E1036" s="1749"/>
      <c r="F1036" s="1749"/>
      <c r="G1036" s="3"/>
      <c r="I1036" s="391"/>
    </row>
    <row r="1037" spans="1:9" ht="12.75" customHeight="1">
      <c r="A1037" s="257"/>
      <c r="B1037" s="257"/>
      <c r="C1037" s="257"/>
      <c r="D1037" s="1750" t="s">
        <v>609</v>
      </c>
      <c r="E1037" s="1750"/>
      <c r="F1037" s="1750"/>
      <c r="G1037" s="3"/>
      <c r="I1037" s="391"/>
    </row>
    <row r="1038" spans="1:9" ht="12.75" customHeight="1">
      <c r="A1038" s="119"/>
      <c r="B1038" s="119"/>
      <c r="C1038" s="119"/>
      <c r="D1038" s="3"/>
      <c r="E1038" s="3"/>
      <c r="F1038" s="3"/>
      <c r="G1038" s="3"/>
      <c r="I1038" s="391"/>
    </row>
    <row r="1039" spans="1:9" ht="12.75" customHeight="1">
      <c r="A1039" s="122"/>
      <c r="B1039" s="122"/>
      <c r="C1039" s="121"/>
      <c r="D1039" s="1749" t="s">
        <v>610</v>
      </c>
      <c r="E1039" s="1749"/>
      <c r="F1039" s="1749"/>
      <c r="G1039" s="3"/>
      <c r="I1039" s="391"/>
    </row>
    <row r="1040" spans="1:9" ht="12.75" customHeight="1">
      <c r="A1040" s="257"/>
      <c r="B1040" s="386" t="s">
        <v>311</v>
      </c>
      <c r="C1040" s="257"/>
      <c r="D1040" s="1750" t="s">
        <v>611</v>
      </c>
      <c r="E1040" s="1750"/>
      <c r="F1040" s="1750"/>
      <c r="G1040" s="3"/>
      <c r="I1040" s="391"/>
    </row>
    <row r="1041" spans="1:9" ht="12.75" customHeight="1">
      <c r="A1041" s="257"/>
      <c r="B1041" s="122"/>
      <c r="C1041" s="257"/>
      <c r="D1041" s="1750" t="s">
        <v>612</v>
      </c>
      <c r="E1041" s="1750"/>
      <c r="F1041" s="1750"/>
      <c r="G1041" s="3"/>
      <c r="I1041" s="391"/>
    </row>
    <row r="1042" spans="1:9" ht="12.75" customHeight="1">
      <c r="A1042" s="257"/>
      <c r="B1042" s="257"/>
      <c r="C1042" s="257"/>
      <c r="D1042" s="1750"/>
      <c r="E1042" s="1750"/>
      <c r="F1042" s="1750"/>
      <c r="G1042" s="3"/>
      <c r="I1042" s="391"/>
    </row>
    <row r="1043" spans="1:9" ht="12.75" customHeight="1">
      <c r="A1043" s="1751" t="s">
        <v>613</v>
      </c>
      <c r="B1043" s="1751"/>
      <c r="C1043" s="1751"/>
      <c r="D1043" s="1751"/>
      <c r="E1043" s="1751"/>
      <c r="F1043" s="1751"/>
      <c r="G1043" s="1751"/>
      <c r="H1043" s="914"/>
      <c r="I1043" s="1036"/>
    </row>
    <row r="1044" spans="1:9" ht="12.75" customHeight="1">
      <c r="A1044" s="84"/>
      <c r="B1044" s="84"/>
      <c r="C1044" s="257"/>
      <c r="D1044" s="3"/>
      <c r="E1044" s="3"/>
      <c r="F1044" s="3"/>
      <c r="G1044" s="3"/>
      <c r="I1044" s="391"/>
    </row>
    <row r="1045" spans="1:9" ht="12.75" hidden="1" customHeight="1">
      <c r="A1045" s="84"/>
      <c r="B1045" s="305"/>
      <c r="D1045" s="1748" t="s">
        <v>614</v>
      </c>
      <c r="E1045" s="1748"/>
      <c r="F1045" s="1748"/>
      <c r="G1045" s="3"/>
      <c r="I1045" s="391"/>
    </row>
    <row r="1046" spans="1:9" ht="12.75" hidden="1" customHeight="1">
      <c r="A1046" s="84"/>
      <c r="B1046" s="386" t="s">
        <v>472</v>
      </c>
      <c r="D1046" s="1747" t="s">
        <v>611</v>
      </c>
      <c r="E1046" s="1747"/>
      <c r="F1046" s="1747"/>
      <c r="G1046" s="3"/>
      <c r="I1046" s="391"/>
    </row>
    <row r="1047" spans="1:9" ht="12.75" hidden="1" customHeight="1">
      <c r="A1047" s="84"/>
      <c r="B1047" s="305"/>
      <c r="D1047" s="1747" t="s">
        <v>615</v>
      </c>
      <c r="E1047" s="1747"/>
      <c r="F1047" s="1747"/>
      <c r="G1047" s="3"/>
      <c r="I1047" s="391"/>
    </row>
    <row r="1048" spans="1:9" ht="12.75" hidden="1" customHeight="1">
      <c r="A1048" s="84"/>
      <c r="B1048" s="305"/>
      <c r="D1048" s="346"/>
      <c r="E1048" s="346"/>
      <c r="F1048" s="346"/>
      <c r="G1048" s="3"/>
      <c r="I1048" s="391"/>
    </row>
    <row r="1049" spans="1:9" ht="12.75" customHeight="1">
      <c r="A1049" s="84"/>
      <c r="B1049" s="84"/>
      <c r="C1049" s="257"/>
      <c r="D1049" s="1752" t="s">
        <v>616</v>
      </c>
      <c r="E1049" s="1752"/>
      <c r="F1049" s="1752"/>
      <c r="G1049" s="3"/>
      <c r="I1049" s="391"/>
    </row>
    <row r="1050" spans="1:9" ht="12.75" customHeight="1">
      <c r="A1050" s="224"/>
      <c r="B1050" s="224"/>
      <c r="C1050" s="224"/>
      <c r="D1050" s="1746" t="s">
        <v>617</v>
      </c>
      <c r="E1050" s="1746"/>
      <c r="F1050" s="1746"/>
      <c r="G1050" s="73"/>
      <c r="I1050" s="391"/>
    </row>
    <row r="1051" spans="1:9" ht="12.75" customHeight="1">
      <c r="A1051" s="122"/>
      <c r="B1051" s="386" t="s">
        <v>311</v>
      </c>
      <c r="C1051" s="257"/>
      <c r="D1051" s="1746" t="s">
        <v>618</v>
      </c>
      <c r="E1051" s="1746"/>
      <c r="F1051" s="1746"/>
      <c r="G1051" s="3"/>
      <c r="I1051" s="391"/>
    </row>
    <row r="1052" spans="1:9" ht="12.75" customHeight="1">
      <c r="A1052" s="257"/>
      <c r="B1052" s="257"/>
      <c r="C1052" s="257"/>
      <c r="D1052" s="922" t="s">
        <v>619</v>
      </c>
      <c r="E1052" s="71"/>
      <c r="F1052" s="71"/>
      <c r="G1052" s="3"/>
      <c r="I1052" s="391"/>
    </row>
    <row r="1053" spans="1:9">
      <c r="A1053" s="305"/>
      <c r="B1053" s="305"/>
      <c r="C1053" s="305"/>
      <c r="I1053" s="391"/>
    </row>
    <row r="1054" spans="1:9">
      <c r="A1054" s="1751" t="s">
        <v>620</v>
      </c>
      <c r="B1054" s="1751"/>
      <c r="C1054" s="1751"/>
      <c r="D1054" s="1751"/>
      <c r="E1054" s="1751"/>
      <c r="F1054" s="1751"/>
      <c r="G1054" s="1751"/>
      <c r="H1054" s="914"/>
      <c r="I1054" s="1036"/>
    </row>
    <row r="1055" spans="1:9">
      <c r="A1055" s="305"/>
      <c r="B1055" s="305"/>
      <c r="C1055" s="305"/>
      <c r="I1055" s="391"/>
    </row>
    <row r="1056" spans="1:9">
      <c r="A1056" s="305"/>
      <c r="B1056" s="305"/>
      <c r="C1056" s="305"/>
      <c r="D1056" s="307" t="s">
        <v>621</v>
      </c>
      <c r="I1056" s="391"/>
    </row>
    <row r="1057" spans="1:9">
      <c r="A1057" s="305"/>
      <c r="B1057" s="305"/>
      <c r="C1057" s="305"/>
      <c r="D1057" s="305" t="s">
        <v>622</v>
      </c>
      <c r="I1057" s="391"/>
    </row>
    <row r="1058" spans="1:9">
      <c r="A1058" s="305"/>
      <c r="B1058" s="305"/>
      <c r="C1058" s="305"/>
      <c r="D1058" s="307"/>
      <c r="I1058" s="391"/>
    </row>
    <row r="1059" spans="1:9">
      <c r="A1059" s="305"/>
      <c r="B1059" s="386" t="s">
        <v>316</v>
      </c>
      <c r="C1059" s="305"/>
      <c r="D1059" s="1759" t="s">
        <v>623</v>
      </c>
      <c r="E1059" s="1759"/>
      <c r="F1059" s="1759"/>
      <c r="I1059" s="391"/>
    </row>
    <row r="1060" spans="1:9">
      <c r="A1060" s="305"/>
      <c r="B1060" s="305"/>
      <c r="C1060" s="305"/>
      <c r="D1060" s="1759"/>
      <c r="E1060" s="1759"/>
      <c r="F1060" s="1759"/>
      <c r="I1060" s="391"/>
    </row>
    <row r="1061" spans="1:9">
      <c r="A1061" s="305"/>
      <c r="B1061" s="305"/>
      <c r="C1061" s="305"/>
      <c r="D1061" s="1759"/>
      <c r="E1061" s="1759"/>
      <c r="F1061" s="1759"/>
      <c r="I1061" s="391"/>
    </row>
    <row r="1062" spans="1:9">
      <c r="A1062" s="305"/>
      <c r="B1062" s="305"/>
      <c r="C1062" s="305"/>
      <c r="D1062" s="1759"/>
      <c r="E1062" s="1759"/>
      <c r="F1062" s="1759"/>
      <c r="I1062" s="391"/>
    </row>
    <row r="1063" spans="1:9">
      <c r="A1063" s="305"/>
      <c r="B1063" s="305"/>
      <c r="C1063" s="305"/>
      <c r="I1063" s="391"/>
    </row>
    <row r="1064" spans="1:9">
      <c r="A1064" s="305"/>
      <c r="B1064" s="305"/>
      <c r="C1064" s="305"/>
      <c r="D1064" s="307" t="s">
        <v>624</v>
      </c>
      <c r="I1064" s="391"/>
    </row>
    <row r="1065" spans="1:9">
      <c r="A1065" s="305"/>
      <c r="B1065" s="305"/>
      <c r="C1065" s="305"/>
      <c r="D1065" s="305" t="s">
        <v>625</v>
      </c>
      <c r="I1065" s="391"/>
    </row>
    <row r="1066" spans="1:9">
      <c r="A1066" s="305"/>
      <c r="B1066" s="305"/>
      <c r="C1066" s="305"/>
      <c r="I1066" s="391"/>
    </row>
    <row r="1067" spans="1:9">
      <c r="A1067" s="305"/>
      <c r="B1067" s="386" t="s">
        <v>316</v>
      </c>
      <c r="C1067" s="305"/>
      <c r="D1067" s="305" t="s">
        <v>572</v>
      </c>
      <c r="I1067" s="391"/>
    </row>
    <row r="1068" spans="1:9">
      <c r="A1068" s="305"/>
      <c r="B1068" s="305"/>
      <c r="C1068" s="305"/>
      <c r="I1068" s="391"/>
    </row>
    <row r="1069" spans="1:9">
      <c r="A1069" s="305"/>
      <c r="B1069" s="386" t="s">
        <v>311</v>
      </c>
      <c r="C1069" s="305"/>
      <c r="D1069" s="1759" t="s">
        <v>626</v>
      </c>
      <c r="E1069" s="1759"/>
      <c r="F1069" s="1759"/>
      <c r="I1069" s="391"/>
    </row>
    <row r="1070" spans="1:9">
      <c r="A1070" s="305"/>
      <c r="B1070" s="305"/>
      <c r="C1070" s="305"/>
      <c r="D1070" s="1759"/>
      <c r="E1070" s="1759"/>
      <c r="F1070" s="1759"/>
      <c r="I1070" s="391"/>
    </row>
    <row r="1071" spans="1:9">
      <c r="A1071" s="305"/>
      <c r="B1071" s="305"/>
      <c r="C1071" s="305"/>
      <c r="D1071" s="1759"/>
      <c r="E1071" s="1759"/>
      <c r="F1071" s="1759"/>
      <c r="I1071" s="391"/>
    </row>
    <row r="1072" spans="1:9">
      <c r="A1072" s="305"/>
      <c r="B1072" s="305"/>
      <c r="C1072" s="305"/>
      <c r="D1072" s="1759"/>
      <c r="E1072" s="1759"/>
      <c r="F1072" s="1759"/>
      <c r="I1072" s="391"/>
    </row>
    <row r="1073" spans="1:9">
      <c r="A1073" s="305"/>
      <c r="B1073" s="305"/>
      <c r="C1073" s="305"/>
      <c r="D1073" s="1759"/>
      <c r="E1073" s="1759"/>
      <c r="F1073" s="1759"/>
      <c r="I1073" s="391"/>
    </row>
    <row r="1074" spans="1:9">
      <c r="A1074" s="305"/>
      <c r="B1074" s="305"/>
      <c r="C1074" s="305"/>
      <c r="I1074" s="391"/>
    </row>
    <row r="1075" spans="1:9">
      <c r="A1075" s="1751" t="s">
        <v>627</v>
      </c>
      <c r="B1075" s="1751"/>
      <c r="C1075" s="1751"/>
      <c r="D1075" s="1751"/>
      <c r="E1075" s="1751"/>
      <c r="F1075" s="1751"/>
      <c r="G1075" s="1751"/>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628</v>
      </c>
      <c r="I1078" s="391"/>
    </row>
    <row r="1079" spans="1:9">
      <c r="A1079" s="305"/>
      <c r="B1079" s="305"/>
      <c r="C1079" s="305"/>
      <c r="D1079" s="427" t="s">
        <v>629</v>
      </c>
      <c r="I1079" s="391"/>
    </row>
    <row r="1080" spans="1:9">
      <c r="A1080" s="305"/>
      <c r="B1080" s="305"/>
      <c r="C1080" s="305"/>
      <c r="D1080" s="427"/>
      <c r="I1080" s="391"/>
    </row>
    <row r="1081" spans="1:9">
      <c r="A1081" s="305"/>
      <c r="B1081" s="386" t="s">
        <v>316</v>
      </c>
      <c r="C1081" s="305"/>
      <c r="D1081" s="1231" t="s">
        <v>630</v>
      </c>
      <c r="E1081" s="1231"/>
      <c r="F1081" s="1231"/>
      <c r="I1081" s="391"/>
    </row>
    <row r="1082" spans="1:9">
      <c r="A1082" s="305"/>
      <c r="B1082" s="305"/>
      <c r="C1082" s="305"/>
      <c r="D1082" s="1231"/>
      <c r="E1082" s="1231"/>
      <c r="F1082" s="1231"/>
      <c r="I1082" s="391"/>
    </row>
    <row r="1083" spans="1:9">
      <c r="A1083" s="305"/>
      <c r="B1083" s="305"/>
      <c r="C1083" s="305"/>
      <c r="D1083" s="427" t="s">
        <v>631</v>
      </c>
      <c r="I1083" s="391"/>
    </row>
    <row r="1084" spans="1:9">
      <c r="A1084" s="305"/>
      <c r="B1084" s="305"/>
      <c r="C1084" s="305"/>
      <c r="D1084" s="427"/>
      <c r="I1084" s="391"/>
    </row>
    <row r="1085" spans="1:9">
      <c r="A1085" s="305"/>
      <c r="B1085" s="386" t="s">
        <v>316</v>
      </c>
      <c r="C1085" s="305"/>
      <c r="D1085" s="85" t="s">
        <v>632</v>
      </c>
      <c r="I1085" s="391"/>
    </row>
    <row r="1086" spans="1:9">
      <c r="A1086" s="305"/>
      <c r="B1086" s="305"/>
      <c r="C1086" s="305"/>
      <c r="D1086" s="1404" t="s">
        <v>633</v>
      </c>
      <c r="E1086" s="1404"/>
      <c r="F1086" s="1404"/>
      <c r="I1086" s="391"/>
    </row>
    <row r="1087" spans="1:9">
      <c r="A1087" s="305"/>
      <c r="B1087" s="305"/>
      <c r="C1087" s="305"/>
      <c r="D1087" s="1404"/>
      <c r="E1087" s="1404"/>
      <c r="F1087" s="1404"/>
      <c r="I1087" s="391"/>
    </row>
    <row r="1088" spans="1:9">
      <c r="A1088" s="305"/>
      <c r="B1088" s="305"/>
      <c r="C1088" s="305"/>
      <c r="D1088" s="1404"/>
      <c r="E1088" s="1404"/>
      <c r="F1088" s="1404"/>
      <c r="I1088" s="391"/>
    </row>
    <row r="1089" spans="1:9">
      <c r="A1089" s="305"/>
      <c r="B1089" s="305"/>
      <c r="C1089" s="305"/>
      <c r="D1089" s="1404"/>
      <c r="E1089" s="1404"/>
      <c r="F1089" s="1404"/>
      <c r="I1089" s="391"/>
    </row>
    <row r="1090" spans="1:9">
      <c r="A1090" s="305"/>
      <c r="B1090" s="305"/>
      <c r="C1090" s="305"/>
      <c r="D1090" s="85" t="s">
        <v>634</v>
      </c>
      <c r="I1090" s="391"/>
    </row>
    <row r="1091" spans="1:9">
      <c r="A1091" s="305"/>
      <c r="B1091" s="305"/>
      <c r="C1091" s="305"/>
      <c r="D1091" s="85"/>
      <c r="I1091" s="391"/>
    </row>
    <row r="1092" spans="1:9">
      <c r="A1092" s="305"/>
      <c r="B1092" s="305"/>
      <c r="C1092" s="305"/>
      <c r="D1092" s="427" t="s">
        <v>635</v>
      </c>
      <c r="I1092" s="391"/>
    </row>
    <row r="1093" spans="1:9">
      <c r="A1093" s="305"/>
      <c r="B1093" s="386" t="s">
        <v>316</v>
      </c>
      <c r="C1093" s="305"/>
      <c r="D1093" s="1758" t="s">
        <v>636</v>
      </c>
      <c r="E1093" s="1758"/>
      <c r="F1093" s="1758"/>
      <c r="I1093" s="391"/>
    </row>
    <row r="1094" spans="1:9">
      <c r="A1094" s="305"/>
      <c r="B1094" s="305"/>
      <c r="C1094" s="305"/>
      <c r="D1094" s="1758"/>
      <c r="E1094" s="1758"/>
      <c r="F1094" s="1758"/>
      <c r="I1094" s="391"/>
    </row>
    <row r="1095" spans="1:9">
      <c r="A1095" s="305"/>
      <c r="B1095" s="305"/>
      <c r="C1095" s="305"/>
      <c r="D1095" s="1758"/>
      <c r="E1095" s="1758"/>
      <c r="F1095" s="1758"/>
      <c r="I1095" s="391"/>
    </row>
    <row r="1096" spans="1:9">
      <c r="A1096" s="305"/>
      <c r="B1096" s="305"/>
      <c r="C1096" s="305"/>
      <c r="D1096" s="1758"/>
      <c r="E1096" s="1758"/>
      <c r="F1096" s="1758"/>
      <c r="I1096" s="391"/>
    </row>
    <row r="1097" spans="1:9">
      <c r="A1097" s="305"/>
      <c r="B1097" s="305"/>
      <c r="C1097" s="305"/>
      <c r="D1097" s="1758"/>
      <c r="E1097" s="1758"/>
      <c r="F1097" s="1758"/>
      <c r="I1097" s="391"/>
    </row>
    <row r="1098" spans="1:9">
      <c r="A1098" s="305"/>
      <c r="B1098" s="305"/>
      <c r="C1098" s="305"/>
      <c r="D1098" s="427" t="s">
        <v>637</v>
      </c>
      <c r="I1098" s="391"/>
    </row>
    <row r="1099" spans="1:9">
      <c r="A1099" s="305"/>
      <c r="B1099" s="305"/>
      <c r="C1099" s="305"/>
      <c r="I1099" s="391"/>
    </row>
    <row r="1100" spans="1:9">
      <c r="A1100" s="305"/>
      <c r="B1100" s="386" t="s">
        <v>316</v>
      </c>
      <c r="C1100" s="305"/>
      <c r="D1100" s="1741" t="s">
        <v>638</v>
      </c>
      <c r="E1100" s="1741"/>
      <c r="F1100" s="1741"/>
      <c r="I1100" s="391"/>
    </row>
    <row r="1101" spans="1:9">
      <c r="A1101" s="305"/>
      <c r="B1101" s="305"/>
      <c r="C1101" s="305"/>
      <c r="D1101" s="1741"/>
      <c r="E1101" s="1741"/>
      <c r="F1101" s="1741"/>
      <c r="I1101" s="391"/>
    </row>
    <row r="1102" spans="1:9">
      <c r="A1102" s="305"/>
      <c r="B1102" s="305"/>
      <c r="C1102" s="305"/>
      <c r="D1102" s="1741"/>
      <c r="E1102" s="1741"/>
      <c r="F1102" s="1741"/>
      <c r="I1102" s="391"/>
    </row>
    <row r="1103" spans="1:9">
      <c r="A1103" s="305"/>
      <c r="B1103" s="305"/>
      <c r="C1103" s="305"/>
      <c r="I1103" s="391"/>
    </row>
    <row r="1104" spans="1:9">
      <c r="A1104" s="1751" t="s">
        <v>639</v>
      </c>
      <c r="B1104" s="1751"/>
      <c r="C1104" s="1751"/>
      <c r="D1104" s="1751"/>
      <c r="E1104" s="1751"/>
      <c r="F1104" s="1751"/>
      <c r="G1104" s="1751"/>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34" t="s">
        <v>640</v>
      </c>
      <c r="E1107" s="1234"/>
      <c r="F1107" s="1234"/>
      <c r="I1107" s="391"/>
    </row>
    <row r="1108" spans="1:9">
      <c r="A1108" s="305"/>
      <c r="B1108" s="305"/>
      <c r="C1108" s="305"/>
      <c r="D1108" s="1234"/>
      <c r="E1108" s="1234"/>
      <c r="F1108" s="1234"/>
      <c r="I1108" s="391"/>
    </row>
    <row r="1109" spans="1:9">
      <c r="A1109" s="305"/>
      <c r="B1109" s="305"/>
      <c r="C1109" s="305"/>
      <c r="D1109" s="1760" t="s">
        <v>641</v>
      </c>
      <c r="E1109" s="1404"/>
      <c r="F1109" s="1404"/>
      <c r="I1109" s="391"/>
    </row>
    <row r="1110" spans="1:9">
      <c r="A1110" s="305"/>
      <c r="B1110" s="305"/>
      <c r="C1110" s="305"/>
      <c r="D1110" s="427"/>
      <c r="I1110" s="391"/>
    </row>
    <row r="1111" spans="1:9">
      <c r="A1111" s="305"/>
      <c r="B1111" s="386" t="s">
        <v>316</v>
      </c>
      <c r="C1111" s="305"/>
      <c r="D1111" s="1758" t="s">
        <v>642</v>
      </c>
      <c r="E1111" s="1758"/>
      <c r="F1111" s="1758"/>
      <c r="I1111" s="391"/>
    </row>
    <row r="1112" spans="1:9">
      <c r="A1112" s="305"/>
      <c r="B1112" s="305"/>
      <c r="C1112" s="305"/>
      <c r="D1112" s="1758"/>
      <c r="E1112" s="1758"/>
      <c r="F1112" s="1758"/>
      <c r="I1112" s="391"/>
    </row>
    <row r="1113" spans="1:9">
      <c r="A1113" s="305"/>
      <c r="B1113" s="305"/>
      <c r="C1113" s="305"/>
      <c r="D1113" s="1758"/>
      <c r="E1113" s="1758"/>
      <c r="F1113" s="1758"/>
      <c r="I1113" s="391"/>
    </row>
    <row r="1114" spans="1:9">
      <c r="A1114" s="305"/>
      <c r="B1114" s="305"/>
      <c r="C1114" s="305"/>
      <c r="D1114" s="427"/>
      <c r="I1114" s="391"/>
    </row>
    <row r="1115" spans="1:9">
      <c r="A1115" s="305"/>
      <c r="B1115" s="386" t="s">
        <v>316</v>
      </c>
      <c r="C1115" s="305"/>
      <c r="D1115" s="1758" t="s">
        <v>643</v>
      </c>
      <c r="E1115" s="1758"/>
      <c r="F1115" s="1758"/>
      <c r="I1115" s="391"/>
    </row>
    <row r="1116" spans="1:9">
      <c r="A1116" s="305"/>
      <c r="B1116" s="305"/>
      <c r="C1116" s="305"/>
      <c r="D1116" s="1758"/>
      <c r="E1116" s="1758"/>
      <c r="F1116" s="1758"/>
      <c r="I1116" s="391"/>
    </row>
    <row r="1117" spans="1:9">
      <c r="A1117" s="305"/>
      <c r="B1117" s="305"/>
      <c r="C1117" s="305"/>
      <c r="D1117" s="1758"/>
      <c r="E1117" s="1758"/>
      <c r="F1117" s="1758"/>
      <c r="I1117" s="391"/>
    </row>
    <row r="1118" spans="1:9">
      <c r="A1118" s="305"/>
      <c r="B1118" s="305"/>
      <c r="C1118" s="305"/>
      <c r="D1118" s="1758"/>
      <c r="E1118" s="1758"/>
      <c r="F1118" s="1758"/>
      <c r="I1118" s="391"/>
    </row>
    <row r="1119" spans="1:9">
      <c r="A1119" s="305"/>
      <c r="B1119" s="305"/>
      <c r="C1119" s="305"/>
      <c r="D1119" s="1758"/>
      <c r="E1119" s="1758"/>
      <c r="F1119" s="1758"/>
      <c r="I1119" s="391"/>
    </row>
    <row r="1120" spans="1:9">
      <c r="A1120" s="305"/>
      <c r="B1120" s="305"/>
      <c r="C1120" s="305"/>
      <c r="D1120" s="427"/>
      <c r="I1120" s="381"/>
    </row>
    <row r="1121" spans="1:9">
      <c r="A1121" s="305"/>
      <c r="B1121" s="386" t="s">
        <v>316</v>
      </c>
      <c r="C1121" s="305"/>
      <c r="D1121" s="1758" t="s">
        <v>644</v>
      </c>
      <c r="E1121" s="1758"/>
      <c r="F1121" s="1758"/>
      <c r="I1121" s="391"/>
    </row>
    <row r="1122" spans="1:9">
      <c r="A1122" s="305"/>
      <c r="B1122" s="305"/>
      <c r="C1122" s="305"/>
      <c r="D1122" s="1758"/>
      <c r="E1122" s="1758"/>
      <c r="F1122" s="1758"/>
      <c r="I1122" s="391"/>
    </row>
    <row r="1123" spans="1:9">
      <c r="A1123" s="305"/>
      <c r="B1123" s="305"/>
      <c r="C1123" s="305"/>
      <c r="D1123" s="1758"/>
      <c r="E1123" s="1758"/>
      <c r="F1123" s="1758"/>
      <c r="I1123" s="391"/>
    </row>
    <row r="1124" spans="1:9">
      <c r="A1124" s="305"/>
      <c r="B1124" s="305"/>
      <c r="C1124" s="305"/>
      <c r="D1124" s="427"/>
      <c r="I1124" s="391"/>
    </row>
    <row r="1125" spans="1:9">
      <c r="A1125" s="305"/>
      <c r="B1125" s="386" t="s">
        <v>311</v>
      </c>
      <c r="C1125" s="305"/>
      <c r="D1125" s="1479" t="s">
        <v>645</v>
      </c>
      <c r="E1125" s="1479"/>
      <c r="F1125" s="1479"/>
      <c r="I1125" s="391"/>
    </row>
    <row r="1126" spans="1:9">
      <c r="A1126" s="305"/>
      <c r="B1126" s="305"/>
      <c r="C1126" s="305"/>
      <c r="D1126" s="1479"/>
      <c r="E1126" s="1479"/>
      <c r="F1126" s="1479"/>
      <c r="I1126" s="391"/>
    </row>
    <row r="1127" spans="1:9">
      <c r="A1127" s="305"/>
      <c r="B1127" s="305"/>
      <c r="C1127" s="305"/>
      <c r="D1127" s="1479"/>
      <c r="E1127" s="1479"/>
      <c r="F1127" s="1479"/>
      <c r="I1127" s="391"/>
    </row>
    <row r="1128" spans="1:9">
      <c r="A1128" s="305"/>
      <c r="B1128" s="305"/>
      <c r="C1128" s="305"/>
      <c r="D1128" s="869"/>
      <c r="E1128" s="869"/>
      <c r="F1128" s="869"/>
      <c r="I1128" s="391"/>
    </row>
    <row r="1129" spans="1:9" ht="15.75" customHeight="1">
      <c r="A1129" s="305"/>
      <c r="B1129" s="386" t="s">
        <v>316</v>
      </c>
      <c r="C1129" s="305"/>
      <c r="D1129" s="1404" t="s">
        <v>646</v>
      </c>
      <c r="E1129" s="1404"/>
      <c r="F1129" s="1404"/>
      <c r="I1129" s="391"/>
    </row>
    <row r="1130" spans="1:9">
      <c r="A1130" s="305"/>
      <c r="B1130" s="305"/>
      <c r="C1130" s="305"/>
      <c r="D1130" s="1404"/>
      <c r="E1130" s="1404"/>
      <c r="F1130" s="1404"/>
      <c r="I1130" s="391"/>
    </row>
    <row r="1131" spans="1:9">
      <c r="A1131" s="305"/>
      <c r="B1131" s="305"/>
      <c r="C1131" s="305"/>
      <c r="D1131" s="1404"/>
      <c r="E1131" s="1404"/>
      <c r="F1131" s="1404"/>
      <c r="I1131" s="391"/>
    </row>
    <row r="1132" spans="1:9">
      <c r="A1132" s="305"/>
      <c r="B1132" s="305"/>
      <c r="C1132" s="305"/>
      <c r="D1132" s="1404"/>
      <c r="E1132" s="1404"/>
      <c r="F1132" s="1404"/>
      <c r="I1132" s="391"/>
    </row>
    <row r="1133" spans="1:9">
      <c r="A1133" s="305"/>
      <c r="B1133" s="305"/>
      <c r="C1133" s="305"/>
      <c r="D1133" s="869"/>
      <c r="E1133" s="869"/>
      <c r="F1133" s="869"/>
      <c r="I1133" s="391"/>
    </row>
    <row r="1134" spans="1:9">
      <c r="A1134" s="305"/>
      <c r="B1134" s="386" t="s">
        <v>316</v>
      </c>
      <c r="C1134" s="305"/>
      <c r="D1134" s="1479" t="s">
        <v>647</v>
      </c>
      <c r="E1134" s="1479"/>
      <c r="F1134" s="1479"/>
      <c r="I1134" s="391"/>
    </row>
    <row r="1135" spans="1:9">
      <c r="A1135" s="305"/>
      <c r="B1135" s="305"/>
      <c r="C1135" s="305"/>
      <c r="D1135" s="1479"/>
      <c r="E1135" s="1479"/>
      <c r="F1135" s="1479"/>
      <c r="I1135" s="391"/>
    </row>
    <row r="1136" spans="1:9">
      <c r="A1136" s="305"/>
      <c r="B1136" s="305"/>
      <c r="C1136" s="305"/>
      <c r="D1136" s="1479"/>
      <c r="E1136" s="1479"/>
      <c r="F1136" s="1479"/>
      <c r="I1136" s="391"/>
    </row>
    <row r="1137" spans="1:9">
      <c r="A1137" s="305"/>
      <c r="B1137" s="305"/>
      <c r="C1137" s="305"/>
      <c r="D1137" s="1479"/>
      <c r="E1137" s="1479"/>
      <c r="F1137" s="1479"/>
      <c r="I1137" s="391"/>
    </row>
    <row r="1138" spans="1:9">
      <c r="A1138" s="305"/>
      <c r="B1138" s="305"/>
      <c r="C1138" s="305"/>
      <c r="D1138" s="1479"/>
      <c r="E1138" s="1479"/>
      <c r="F1138" s="1479"/>
      <c r="I1138" s="391"/>
    </row>
    <row r="1139" spans="1:9">
      <c r="A1139" s="305"/>
      <c r="B1139" s="305"/>
      <c r="C1139" s="305"/>
      <c r="D1139" s="1479"/>
      <c r="E1139" s="1479"/>
      <c r="F1139" s="1479"/>
      <c r="I1139" s="391"/>
    </row>
    <row r="1140" spans="1:9">
      <c r="A1140" s="305"/>
      <c r="B1140" s="305"/>
      <c r="C1140" s="305"/>
      <c r="D1140" s="869"/>
      <c r="E1140" s="869"/>
      <c r="F1140" s="869"/>
      <c r="I1140" s="391"/>
    </row>
    <row r="1141" spans="1:9">
      <c r="A1141" s="305"/>
      <c r="B1141" s="386" t="s">
        <v>316</v>
      </c>
      <c r="C1141" s="305"/>
      <c r="D1141" s="1759" t="s">
        <v>648</v>
      </c>
      <c r="E1141" s="1759"/>
      <c r="F1141" s="1759"/>
      <c r="I1141" s="1042"/>
    </row>
    <row r="1142" spans="1:9">
      <c r="A1142" s="305"/>
      <c r="B1142" s="305"/>
      <c r="C1142" s="305"/>
      <c r="D1142" s="1759"/>
      <c r="E1142" s="1759"/>
      <c r="F1142" s="1759"/>
      <c r="I1142" s="391"/>
    </row>
    <row r="1143" spans="1:9">
      <c r="A1143" s="305"/>
      <c r="B1143" s="305"/>
      <c r="C1143" s="305"/>
      <c r="D1143" s="1759"/>
      <c r="E1143" s="1759"/>
      <c r="F1143" s="1759"/>
    </row>
    <row r="1144" spans="1:9">
      <c r="A1144" s="305"/>
      <c r="B1144" s="305"/>
      <c r="C1144" s="305"/>
      <c r="D1144" s="1759"/>
      <c r="E1144" s="1759"/>
      <c r="F1144" s="1759"/>
    </row>
    <row r="1145" spans="1:9">
      <c r="A1145" s="305"/>
      <c r="B1145" s="305"/>
      <c r="C1145" s="305"/>
      <c r="D1145" s="1759"/>
      <c r="E1145" s="1759"/>
      <c r="F1145" s="175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6"/>
      <c r="H1553" s="1766"/>
      <c r="I1553" s="1766"/>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141 B1129 B1125 B1115 B1107 B307 B15 B474 B478 B27 B33 B621 B632 B1111 B80 B89 B103 B119 B128 B131 B137 B151 B171 B177 B182 B209 B217 B228 B256 B250 B259 B267 B271 B278 B68 B72 B20 B52 B56 B61 B65 B290 B293 B297 B313 B316 B318 B334 B375 B387 B355 B380 B344 B47 B305 B360 B362 B420 B423 B429 B435 B481 B486 B488 B494 B511 B514 B1081 B36 B41 B467 B471 B501 B504 B509 B530 B527 B536 B589 B591 B595 B600 B603 B611 B623 B626 B629 B567 B570 B574 B579 B638 B645 B648 B651 B549 B551 B554 B557 B560 B564 B1100 B658 B663 B669 B674 B738 B743 B749 B730 B703 B245 B516 B100 B96 B92 B205 B201 B197 B213 B233 B717 B734 B763 B770 B775 B779 B782 B795 B799 B803 B813 B820 B827 B842 B853 B857 B866 B870 B24 B690 B695 B699 B707 B714 B791 B839 B880 B883 B886 B895 B969 B913 B927 B930 B935 B937 B964 B975 B978 B908 B957 B899 B1046 B1051 B1040 B1027 B1029 B1031 B1078 B1134 B1085 B1093 B1121 B918 B939 B949 B999 B1007 B1012 B1015 B1017 B1019 B1021 B1024 B1059 B1067 B1069"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08" workbookViewId="0">
      <selection activeCell="Q637" sqref="Q637:S63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649</v>
      </c>
      <c r="BE1" s="3"/>
      <c r="BF1" s="3"/>
    </row>
    <row r="2" spans="1:58" ht="12.95" customHeight="1">
      <c r="BD2" s="3" t="s">
        <v>650</v>
      </c>
      <c r="BE2" s="3" t="s">
        <v>651</v>
      </c>
      <c r="BF2" s="3" t="s">
        <v>652</v>
      </c>
    </row>
    <row r="3" spans="1:58" ht="12.95" customHeight="1">
      <c r="BD3" s="3" t="s">
        <v>653</v>
      </c>
      <c r="BE3" t="str">
        <f>AC220</f>
        <v xml:space="preserve">Coastal (Monterey, Napa, Orange, San Benito, San Diego, San Luis Obispo, Santa Barbara, Sonoma, and Ventura Counties) </v>
      </c>
    </row>
    <row r="4" spans="1:58" ht="12.95" customHeight="1">
      <c r="BD4" s="3" t="s">
        <v>654</v>
      </c>
      <c r="BE4" s="1069"/>
    </row>
    <row r="5" spans="1:58" ht="12.95" customHeight="1">
      <c r="BD5" s="3" t="s">
        <v>655</v>
      </c>
      <c r="BE5">
        <f>SUMIF($AC$726:$AC$760,"&lt;=20%",$G$726:G$760)</f>
        <v>0</v>
      </c>
      <c r="BF5" s="3" t="s">
        <v>656</v>
      </c>
    </row>
    <row r="6" spans="1:58" ht="12.95" customHeight="1">
      <c r="BD6" s="3" t="s">
        <v>657</v>
      </c>
      <c r="BE6" s="1072">
        <f>SUMIF($AC$726:$AC$760,"&lt;=25%",$G$726:G$760)-SUM($BE$5:BE5)</f>
        <v>0</v>
      </c>
    </row>
    <row r="7" spans="1:58" ht="12.95" customHeight="1">
      <c r="BD7" s="1070" t="s">
        <v>658</v>
      </c>
      <c r="BE7" s="1072">
        <f>SUMIF($AC$726:$AC$760,"&lt;=30%",$G$726:G$760)-SUM($BE$5:BE6)</f>
        <v>51</v>
      </c>
    </row>
    <row r="8" spans="1:58" ht="26.25" customHeight="1">
      <c r="A8" s="1399" t="s">
        <v>659</v>
      </c>
      <c r="B8" s="1399"/>
      <c r="C8" s="1399"/>
      <c r="D8" s="1399"/>
      <c r="E8" s="1399"/>
      <c r="F8" s="1399"/>
      <c r="G8" s="1399"/>
      <c r="H8" s="1399"/>
      <c r="I8" s="1399"/>
      <c r="J8" s="1399"/>
      <c r="K8" s="1399"/>
      <c r="L8" s="1399"/>
      <c r="M8" s="1399"/>
      <c r="N8" s="1399"/>
      <c r="O8" s="1399"/>
      <c r="P8" s="1399"/>
      <c r="Q8" s="1399"/>
      <c r="R8" s="1399"/>
      <c r="S8" s="1399"/>
      <c r="T8" s="1399"/>
      <c r="U8" s="1399"/>
      <c r="V8" s="1399"/>
      <c r="W8" s="1399"/>
      <c r="X8" s="1399"/>
      <c r="Y8" s="1399"/>
      <c r="Z8" s="1399"/>
      <c r="AA8" s="1399"/>
      <c r="AB8" s="1399"/>
      <c r="AC8" s="1399"/>
      <c r="AD8" s="1399"/>
      <c r="AE8" s="1399"/>
      <c r="AF8" s="1399"/>
      <c r="AG8" s="1399"/>
      <c r="AH8" s="1399"/>
      <c r="AI8" s="1399"/>
      <c r="AJ8" s="1399"/>
      <c r="AK8" s="1399"/>
      <c r="AL8" s="1399"/>
      <c r="AM8" s="1399"/>
      <c r="AN8" s="1399"/>
      <c r="AO8" s="1399"/>
      <c r="AP8" s="1399"/>
      <c r="AQ8" s="1399"/>
      <c r="AR8" s="1399"/>
      <c r="AS8" s="1399"/>
      <c r="AT8" s="1399"/>
      <c r="AU8" s="790"/>
      <c r="AV8" s="790"/>
      <c r="AW8" s="790"/>
      <c r="AX8" s="790"/>
      <c r="AY8" s="790"/>
      <c r="BD8" s="3" t="s">
        <v>660</v>
      </c>
      <c r="BE8" s="1072">
        <f>SUMIF($AC$726:$AC$760,"&lt;=35%",$G$726:G$760)-SUM($BE$5:BE7)</f>
        <v>0</v>
      </c>
    </row>
    <row r="9" spans="1:58" ht="12.95" customHeight="1">
      <c r="A9" s="1235" t="s">
        <v>661</v>
      </c>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c r="AO9" s="1235"/>
      <c r="AP9" s="1235"/>
      <c r="AQ9" s="1235"/>
      <c r="AR9" s="1235"/>
      <c r="AS9" s="1235"/>
      <c r="AT9" s="1235"/>
      <c r="AU9" s="12"/>
      <c r="AV9" s="12"/>
      <c r="AW9" s="12"/>
      <c r="AX9" s="12"/>
      <c r="AY9" s="12"/>
      <c r="BD9" s="1071" t="s">
        <v>662</v>
      </c>
      <c r="BE9" s="1072">
        <f>SUMIF($AC$726:$AC$760,"&lt;=40%",$G$726:G$760)-SUM($BE$5:BE8)</f>
        <v>0</v>
      </c>
    </row>
    <row r="10" spans="1:58" ht="12.95" customHeight="1">
      <c r="A10" s="1235" t="s">
        <v>663</v>
      </c>
      <c r="B10" s="1235"/>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
      <c r="AV10" s="12"/>
      <c r="AW10" s="12"/>
      <c r="AX10" s="12"/>
      <c r="AY10" s="12"/>
      <c r="BD10" s="3" t="s">
        <v>664</v>
      </c>
      <c r="BE10" s="1072">
        <f>SUMIF($AC$726:$AC$760,"&lt;=45%",$G$726:G$760)-SUM($BE$5:BE9)</f>
        <v>0</v>
      </c>
    </row>
    <row r="11" spans="1:58" ht="12.95" customHeight="1">
      <c r="A11" s="1235" t="s">
        <v>665</v>
      </c>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c r="AH11" s="1235"/>
      <c r="AI11" s="1235"/>
      <c r="AJ11" s="1235"/>
      <c r="AK11" s="1235"/>
      <c r="AL11" s="1235"/>
      <c r="AM11" s="1235"/>
      <c r="AN11" s="1235"/>
      <c r="AO11" s="1235"/>
      <c r="AP11" s="1235"/>
      <c r="AQ11" s="1235"/>
      <c r="AR11" s="1235"/>
      <c r="AS11" s="1235"/>
      <c r="AT11" s="1235"/>
      <c r="AU11" s="12"/>
      <c r="AV11" s="12"/>
      <c r="AW11" s="12"/>
      <c r="AX11" s="12"/>
      <c r="AY11" s="12"/>
      <c r="BD11" s="1070" t="s">
        <v>666</v>
      </c>
      <c r="BE11" s="1072">
        <f>SUMIF($AC$726:$AC$760,"&lt;=50%",$G$726:G$760)-SUM($BE$5:BE10)</f>
        <v>24</v>
      </c>
    </row>
    <row r="12" spans="1:58" ht="12.95" customHeight="1">
      <c r="A12" s="1400" t="s">
        <v>667</v>
      </c>
      <c r="B12" s="1400"/>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257"/>
      <c r="AV12" s="257"/>
      <c r="AW12" s="257"/>
      <c r="AX12" s="257"/>
      <c r="AY12" s="257"/>
      <c r="BD12" s="3" t="s">
        <v>668</v>
      </c>
      <c r="BE12" s="1072">
        <f>SUMIF($AC$726:$AC$760,"&lt;=55%",$G$726:G$760)-SUM($BE$5:BE11)</f>
        <v>0</v>
      </c>
    </row>
    <row r="13" spans="1:58" ht="12.95" customHeight="1">
      <c r="A13" s="1301" t="s">
        <v>669</v>
      </c>
      <c r="B13" s="1301"/>
      <c r="C13" s="1301"/>
      <c r="D13" s="1301"/>
      <c r="E13" s="1301"/>
      <c r="F13" s="1301"/>
      <c r="G13" s="1301"/>
      <c r="H13" s="1301"/>
      <c r="I13" s="1301"/>
      <c r="J13" s="1301"/>
      <c r="K13" s="1301"/>
      <c r="L13" s="1301"/>
      <c r="M13" s="1301"/>
      <c r="N13" s="1301"/>
      <c r="O13" s="1301"/>
      <c r="P13" s="1301"/>
      <c r="Q13" s="1301"/>
      <c r="R13" s="1301"/>
      <c r="S13" s="1301"/>
      <c r="T13" s="1301"/>
      <c r="U13" s="1301"/>
      <c r="V13" s="1301"/>
      <c r="W13" s="1301"/>
      <c r="X13" s="1301"/>
      <c r="Y13" s="1301"/>
      <c r="Z13" s="1301"/>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791"/>
      <c r="AV13" s="791"/>
      <c r="AW13" s="791"/>
      <c r="AX13" s="791"/>
      <c r="AY13" s="791"/>
      <c r="BD13" s="1071" t="s">
        <v>670</v>
      </c>
      <c r="BE13" s="1072">
        <f>SUMIF($AC$726:$AC$760,"&lt;=60%",$G$726:G$760)-SUM($BE$5:BE12)</f>
        <v>11</v>
      </c>
    </row>
    <row r="14" spans="1:58" ht="12.95" customHeight="1">
      <c r="A14" s="1301"/>
      <c r="B14" s="1301"/>
      <c r="C14" s="1301"/>
      <c r="D14" s="1301"/>
      <c r="E14" s="1301"/>
      <c r="F14" s="1301"/>
      <c r="G14" s="1301"/>
      <c r="H14" s="1301"/>
      <c r="I14" s="1301"/>
      <c r="J14" s="1301"/>
      <c r="K14" s="1301"/>
      <c r="L14" s="1301"/>
      <c r="M14" s="1301"/>
      <c r="N14" s="1301"/>
      <c r="O14" s="1301"/>
      <c r="P14" s="1301"/>
      <c r="Q14" s="1301"/>
      <c r="R14" s="1301"/>
      <c r="S14" s="1301"/>
      <c r="T14" s="1301"/>
      <c r="U14" s="1301"/>
      <c r="V14" s="1301"/>
      <c r="W14" s="1301"/>
      <c r="X14" s="1301"/>
      <c r="Y14" s="1301"/>
      <c r="Z14" s="1301"/>
      <c r="AA14" s="1301"/>
      <c r="AB14" s="1301"/>
      <c r="AC14" s="1301"/>
      <c r="AD14" s="1301"/>
      <c r="AE14" s="1301"/>
      <c r="AF14" s="1301"/>
      <c r="AG14" s="1301"/>
      <c r="AH14" s="1301"/>
      <c r="AI14" s="1301"/>
      <c r="AJ14" s="1301"/>
      <c r="AK14" s="1301"/>
      <c r="AL14" s="1301"/>
      <c r="AM14" s="1301"/>
      <c r="AN14" s="1301"/>
      <c r="AO14" s="1301"/>
      <c r="AP14" s="1301"/>
      <c r="AQ14" s="1301"/>
      <c r="AR14" s="1301"/>
      <c r="AS14" s="1301"/>
      <c r="AT14" s="1301"/>
      <c r="AU14" s="791"/>
      <c r="AV14" s="791"/>
      <c r="AW14" s="791"/>
      <c r="AX14" s="791"/>
      <c r="AY14" s="791"/>
      <c r="BD14" s="1070" t="s">
        <v>671</v>
      </c>
      <c r="BE14" s="1072">
        <f>SUMIF($AC$726:$AC$760,"&lt;=70%",$G$726:G$760)-SUM($BE$5:BE13)</f>
        <v>13</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672</v>
      </c>
      <c r="BE15" s="1072">
        <f>SUMIF($AC$726:$AC$760,"&lt;=80%",$G$726:G$760)-SUM($BE$5:BE14)</f>
        <v>0</v>
      </c>
    </row>
    <row r="16" spans="1:58" ht="12.95" customHeight="1">
      <c r="A16" s="49" t="s">
        <v>673</v>
      </c>
      <c r="C16" s="3"/>
      <c r="D16" s="3"/>
      <c r="E16" s="3"/>
      <c r="F16" s="3"/>
      <c r="G16" s="3"/>
      <c r="H16" s="1407" t="s">
        <v>674</v>
      </c>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c r="AE16" s="1407"/>
      <c r="AF16" s="1407"/>
      <c r="AG16" s="1407"/>
      <c r="AH16" s="1407"/>
      <c r="AI16" s="1407"/>
      <c r="AJ16" s="1407"/>
      <c r="BD16" s="1071" t="s">
        <v>77</v>
      </c>
      <c r="BE16" s="1072" t="str">
        <f>Application!H18</f>
        <v>Greenfield Commons II</v>
      </c>
    </row>
    <row r="17" spans="1:58" ht="12.95" customHeight="1">
      <c r="BD17" s="1070" t="s">
        <v>675</v>
      </c>
      <c r="BE17" s="1072">
        <f>Application!AA943</f>
        <v>0</v>
      </c>
    </row>
    <row r="18" spans="1:58" ht="12.95" customHeight="1">
      <c r="A18" s="49" t="s">
        <v>676</v>
      </c>
      <c r="C18" s="3"/>
      <c r="D18" s="3"/>
      <c r="E18" s="3"/>
      <c r="F18" s="3"/>
      <c r="G18" s="3"/>
      <c r="H18" s="1405" t="s">
        <v>677</v>
      </c>
      <c r="I18" s="1405"/>
      <c r="J18" s="1405"/>
      <c r="K18" s="1405"/>
      <c r="L18" s="1405"/>
      <c r="M18" s="1405"/>
      <c r="N18" s="1405"/>
      <c r="O18" s="1405"/>
      <c r="P18" s="1405"/>
      <c r="Q18" s="1405"/>
      <c r="R18" s="1405"/>
      <c r="S18" s="1405"/>
      <c r="T18" s="1405"/>
      <c r="U18" s="1405"/>
      <c r="V18" s="1405"/>
      <c r="W18" s="1405"/>
      <c r="X18" s="1405"/>
      <c r="Y18" s="1405"/>
      <c r="Z18" s="1405"/>
      <c r="AA18" s="1405"/>
      <c r="AB18" s="1405"/>
      <c r="AC18" s="1405"/>
      <c r="AD18" s="1405"/>
      <c r="AE18" s="1405"/>
      <c r="AF18" s="1405"/>
      <c r="AG18" s="1405"/>
      <c r="AH18" s="1405"/>
      <c r="AI18" s="1405"/>
      <c r="AJ18" s="1405"/>
      <c r="BD18" s="1071" t="s">
        <v>678</v>
      </c>
      <c r="BE18" s="1072">
        <f>AA943</f>
        <v>0</v>
      </c>
    </row>
    <row r="19" spans="1:58" ht="12.95" customHeight="1">
      <c r="BD19" s="1070" t="s">
        <v>679</v>
      </c>
      <c r="BE19" s="1072">
        <f>Application!M26</f>
        <v>3901992</v>
      </c>
    </row>
    <row r="20" spans="1:58" ht="12.95" customHeight="1">
      <c r="A20" s="1401" t="s">
        <v>680</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c r="AM20" s="1401"/>
      <c r="AN20" s="1401"/>
      <c r="AO20" s="1401"/>
      <c r="AP20" s="1401"/>
      <c r="AQ20" s="1401"/>
      <c r="AR20" s="1401"/>
      <c r="AS20" s="1401"/>
      <c r="AT20" s="1401"/>
      <c r="AU20" s="792"/>
      <c r="AV20" s="792"/>
      <c r="AW20" s="792"/>
      <c r="AX20" s="792"/>
      <c r="AY20" s="792"/>
      <c r="BD20" s="1071" t="s">
        <v>681</v>
      </c>
      <c r="BE20" s="1072">
        <f>Application!M27</f>
        <v>16954253</v>
      </c>
    </row>
    <row r="21" spans="1:58" ht="12.95" customHeight="1">
      <c r="A21" s="1299" t="s">
        <v>682</v>
      </c>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c r="AL21" s="1299"/>
      <c r="AM21" s="793"/>
      <c r="AN21" s="793"/>
      <c r="AO21" s="793"/>
      <c r="AP21" s="793"/>
      <c r="AQ21" s="793"/>
      <c r="AR21" s="793"/>
      <c r="AS21" s="793"/>
      <c r="AT21" s="793"/>
      <c r="AU21" s="793"/>
      <c r="AV21" s="793"/>
      <c r="AW21" s="793"/>
      <c r="AX21" s="793"/>
      <c r="AY21" s="793"/>
      <c r="BD21" s="1070" t="s">
        <v>683</v>
      </c>
      <c r="BE21" s="1072">
        <f>Application!AM562</f>
        <v>21332341.365621213</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684</v>
      </c>
      <c r="BE22" s="1072">
        <f>'Sources and Uses Budget'!B105</f>
        <v>82176624</v>
      </c>
      <c r="BF22" s="3" t="s">
        <v>685</v>
      </c>
    </row>
    <row r="23" spans="1:58" ht="12.95" customHeight="1">
      <c r="A23" s="1234" t="s">
        <v>686</v>
      </c>
      <c r="B23" s="1234"/>
      <c r="C23" s="1234"/>
      <c r="D23" s="1234"/>
      <c r="E23" s="1234"/>
      <c r="F23" s="1234"/>
      <c r="G23" s="1234"/>
      <c r="H23" s="1234"/>
      <c r="I23" s="1234"/>
      <c r="J23" s="1234"/>
      <c r="K23" s="1234"/>
      <c r="L23" s="1234"/>
      <c r="M23" s="1234"/>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6"/>
      <c r="AV23" s="16"/>
      <c r="AW23" s="16"/>
      <c r="AX23" s="16"/>
      <c r="AY23" s="16"/>
      <c r="AZ23" s="16"/>
      <c r="BD23" s="1070" t="s">
        <v>687</v>
      </c>
      <c r="BE23" s="1072">
        <f>'Sources and Uses Budget'!B4</f>
        <v>1805673</v>
      </c>
    </row>
    <row r="24" spans="1:58" ht="12.95" customHeight="1">
      <c r="A24" s="1234"/>
      <c r="B24" s="1234"/>
      <c r="C24" s="1234"/>
      <c r="D24" s="1234"/>
      <c r="E24" s="1234"/>
      <c r="F24" s="1234"/>
      <c r="G24" s="1234"/>
      <c r="H24" s="1234"/>
      <c r="I24" s="1234"/>
      <c r="J24" s="1234"/>
      <c r="K24" s="1234"/>
      <c r="L24" s="1234"/>
      <c r="M24" s="1234"/>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6"/>
      <c r="AV24" s="16"/>
      <c r="AW24" s="16"/>
      <c r="AX24" s="16"/>
      <c r="AY24" s="16"/>
      <c r="AZ24" s="16"/>
      <c r="BD24" s="1071" t="s">
        <v>688</v>
      </c>
      <c r="BE24" s="1072">
        <f>Application!AG459</f>
        <v>172340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689</v>
      </c>
      <c r="BE25" s="1072" t="str">
        <f>Application!D208</f>
        <v>40%/60%</v>
      </c>
    </row>
    <row r="26" spans="1:58" ht="12.95" customHeight="1">
      <c r="A26" s="3"/>
      <c r="C26" s="3"/>
      <c r="D26" s="3"/>
      <c r="E26" s="3"/>
      <c r="F26" s="3"/>
      <c r="G26" s="3"/>
      <c r="H26" s="3"/>
      <c r="I26" s="3"/>
      <c r="J26" s="3"/>
      <c r="K26" s="3"/>
      <c r="L26" s="3"/>
      <c r="M26" s="1406">
        <f>'Basis &amp; Credits'!AB56</f>
        <v>3901992</v>
      </c>
      <c r="N26" s="1406"/>
      <c r="O26" s="1406"/>
      <c r="P26" s="1406"/>
      <c r="Q26" s="1406"/>
      <c r="R26" s="3" t="s">
        <v>690</v>
      </c>
      <c r="S26" s="3"/>
      <c r="T26" s="3"/>
      <c r="U26" s="3"/>
      <c r="V26" s="3"/>
      <c r="W26" s="3"/>
      <c r="X26" s="3"/>
      <c r="Y26" s="3"/>
      <c r="Z26" s="3"/>
      <c r="AF26" s="3"/>
      <c r="AG26" s="3"/>
      <c r="AH26" s="3"/>
      <c r="AI26" s="3"/>
      <c r="AJ26" s="3"/>
      <c r="AK26" s="3"/>
      <c r="BD26" s="1071" t="s">
        <v>691</v>
      </c>
      <c r="BE26" s="1072" t="b">
        <f>Application!M365="Yes"</f>
        <v>0</v>
      </c>
    </row>
    <row r="27" spans="1:58" ht="12.95" customHeight="1">
      <c r="A27" s="3"/>
      <c r="C27" s="3"/>
      <c r="D27" s="3"/>
      <c r="E27" s="3"/>
      <c r="F27" s="3"/>
      <c r="G27" s="3"/>
      <c r="H27" s="3"/>
      <c r="I27" s="3"/>
      <c r="J27" s="3"/>
      <c r="K27" s="3"/>
      <c r="L27" s="3"/>
      <c r="M27" s="1300">
        <f>'Basis &amp; Credits'!AB78</f>
        <v>16954253</v>
      </c>
      <c r="N27" s="1300"/>
      <c r="O27" s="1300"/>
      <c r="P27" s="1300"/>
      <c r="Q27" s="1300"/>
      <c r="R27" s="3" t="s">
        <v>692</v>
      </c>
      <c r="S27" s="3"/>
      <c r="T27" s="3"/>
      <c r="U27" s="3"/>
      <c r="V27" s="3"/>
      <c r="W27" s="3"/>
      <c r="X27" s="3"/>
      <c r="Y27" s="3"/>
      <c r="Z27" s="3"/>
      <c r="AF27" s="3"/>
      <c r="AG27" s="3"/>
      <c r="AH27" s="3"/>
      <c r="AI27" s="3"/>
      <c r="AJ27" s="3"/>
      <c r="AK27" s="3"/>
      <c r="BD27" s="1070" t="s">
        <v>693</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694</v>
      </c>
      <c r="BE28" s="1072" t="b">
        <f>Application!M366="Yes"</f>
        <v>0</v>
      </c>
    </row>
    <row r="29" spans="1:58" ht="12.95" customHeight="1">
      <c r="A29" s="1402" t="s">
        <v>695</v>
      </c>
      <c r="B29" s="1402"/>
      <c r="C29" s="1402"/>
      <c r="D29" s="1402"/>
      <c r="E29" s="1402"/>
      <c r="F29" s="1402"/>
      <c r="G29" s="1402"/>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c r="AK29" s="1402"/>
      <c r="AL29" s="1402"/>
      <c r="AM29" s="1402"/>
      <c r="AN29" s="1402"/>
      <c r="AO29" s="1402"/>
      <c r="AP29" s="1402"/>
      <c r="AQ29" s="1402"/>
      <c r="AR29" s="1402"/>
      <c r="AS29" s="1402"/>
      <c r="AT29" s="1402"/>
      <c r="BD29" s="1070" t="s">
        <v>696</v>
      </c>
      <c r="BE29" s="1072" t="b">
        <f>Application!M367="Yes"</f>
        <v>0</v>
      </c>
    </row>
    <row r="30" spans="1:58" ht="12.95" customHeight="1">
      <c r="A30" s="1402"/>
      <c r="B30" s="1402"/>
      <c r="C30" s="1402"/>
      <c r="D30" s="1402"/>
      <c r="E30" s="1402"/>
      <c r="F30" s="1402"/>
      <c r="G30" s="1402"/>
      <c r="H30" s="1402"/>
      <c r="I30" s="1402"/>
      <c r="J30" s="1402"/>
      <c r="K30" s="1402"/>
      <c r="L30" s="1402"/>
      <c r="M30" s="1402"/>
      <c r="N30" s="1402"/>
      <c r="O30" s="1402"/>
      <c r="P30" s="1402"/>
      <c r="Q30" s="1402"/>
      <c r="R30" s="1402"/>
      <c r="S30" s="1402"/>
      <c r="T30" s="1402"/>
      <c r="U30" s="1402"/>
      <c r="V30" s="1402"/>
      <c r="W30" s="1402"/>
      <c r="X30" s="1402"/>
      <c r="Y30" s="1402"/>
      <c r="Z30" s="1402"/>
      <c r="AA30" s="1402"/>
      <c r="AB30" s="1402"/>
      <c r="AC30" s="1402"/>
      <c r="AD30" s="1402"/>
      <c r="AE30" s="1402"/>
      <c r="AF30" s="1402"/>
      <c r="AG30" s="1402"/>
      <c r="AH30" s="1402"/>
      <c r="AI30" s="1402"/>
      <c r="AJ30" s="1402"/>
      <c r="AK30" s="1402"/>
      <c r="AL30" s="1402"/>
      <c r="AM30" s="1402"/>
      <c r="AN30" s="1402"/>
      <c r="AO30" s="1402"/>
      <c r="AP30" s="1402"/>
      <c r="AQ30" s="1402"/>
      <c r="AR30" s="1402"/>
      <c r="AS30" s="1402"/>
      <c r="AT30" s="1402"/>
      <c r="AZ30" s="17"/>
      <c r="BD30" s="1071" t="s">
        <v>697</v>
      </c>
      <c r="BE30" s="1072" t="b">
        <f>Application!AJ364="Yes"</f>
        <v>0</v>
      </c>
    </row>
    <row r="31" spans="1:58" ht="12.95" customHeight="1">
      <c r="A31" s="1402"/>
      <c r="B31" s="1402"/>
      <c r="C31" s="1402"/>
      <c r="D31" s="1402"/>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2"/>
      <c r="AI31" s="1402"/>
      <c r="AJ31" s="1402"/>
      <c r="AK31" s="1402"/>
      <c r="AL31" s="1402"/>
      <c r="AM31" s="1402"/>
      <c r="AN31" s="1402"/>
      <c r="AO31" s="1402"/>
      <c r="AP31" s="1402"/>
      <c r="AQ31" s="1402"/>
      <c r="AR31" s="1402"/>
      <c r="AS31" s="1402"/>
      <c r="AT31" s="1402"/>
      <c r="AU31" s="17"/>
      <c r="AV31" s="17"/>
      <c r="AW31" s="17"/>
      <c r="AX31" s="17"/>
      <c r="AY31" s="17"/>
      <c r="AZ31" s="17"/>
      <c r="BD31" s="1070" t="s">
        <v>698</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699</v>
      </c>
      <c r="BE32" s="1072">
        <f>IF(ISNUMBER(Application!W473),W473,0)</f>
        <v>0</v>
      </c>
    </row>
    <row r="33" spans="1:57" ht="12.95" hidden="1" customHeight="1">
      <c r="A33" s="419" t="s">
        <v>700</v>
      </c>
      <c r="C33" s="419"/>
      <c r="D33" s="419"/>
      <c r="E33" s="419"/>
      <c r="F33" s="419"/>
      <c r="G33" s="419"/>
      <c r="H33" s="419"/>
      <c r="I33" s="419"/>
      <c r="J33" s="419"/>
      <c r="K33" s="419"/>
      <c r="L33" s="419"/>
      <c r="M33" s="419"/>
      <c r="N33" s="419"/>
      <c r="O33" s="1229" t="s">
        <v>701</v>
      </c>
      <c r="P33" s="1229"/>
      <c r="Q33" s="1403" t="s">
        <v>702</v>
      </c>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3"/>
      <c r="AR33" s="1403"/>
      <c r="AS33" s="1403"/>
      <c r="AT33" s="1403"/>
      <c r="AU33" s="17"/>
      <c r="AV33" s="17"/>
      <c r="AW33" s="17"/>
      <c r="AX33" s="17"/>
      <c r="AY33" s="17"/>
      <c r="BD33" s="1070" t="s">
        <v>703</v>
      </c>
      <c r="BE33" s="1072" t="str">
        <f>Application!D220</f>
        <v>Central Coast Region: Monterey, San Luis Obispo, Santa Barbara, Santa Cruz, and Ventura Counties</v>
      </c>
    </row>
    <row r="34" spans="1:57" ht="12.95" hidden="1" customHeight="1">
      <c r="A34" s="1402" t="s">
        <v>704</v>
      </c>
      <c r="B34" s="1402"/>
      <c r="C34" s="1402"/>
      <c r="D34" s="1402"/>
      <c r="E34" s="1402"/>
      <c r="F34" s="1402"/>
      <c r="G34" s="1402"/>
      <c r="H34" s="1402"/>
      <c r="I34" s="1402"/>
      <c r="J34" s="1402"/>
      <c r="K34" s="1402"/>
      <c r="L34" s="1402"/>
      <c r="M34" s="1402"/>
      <c r="N34" s="1402"/>
      <c r="O34" s="1402"/>
      <c r="P34" s="1402"/>
      <c r="Q34" s="1402"/>
      <c r="R34" s="1402"/>
      <c r="S34" s="1402"/>
      <c r="T34" s="1402"/>
      <c r="U34" s="1402"/>
      <c r="V34" s="1402"/>
      <c r="W34" s="1402"/>
      <c r="X34" s="1402"/>
      <c r="Y34" s="1402"/>
      <c r="Z34" s="1402"/>
      <c r="AA34" s="1402"/>
      <c r="AB34" s="1402"/>
      <c r="AC34" s="1402"/>
      <c r="AD34" s="1402"/>
      <c r="AE34" s="1402"/>
      <c r="AF34" s="1402"/>
      <c r="AG34" s="1402"/>
      <c r="AH34" s="1402"/>
      <c r="AI34" s="1402"/>
      <c r="AJ34" s="1402"/>
      <c r="AK34" s="1402"/>
      <c r="AL34" s="1402"/>
      <c r="AM34" s="1402"/>
      <c r="AN34" s="1402"/>
      <c r="AO34" s="1402"/>
      <c r="AP34" s="1402"/>
      <c r="AQ34" s="1402"/>
      <c r="AR34" s="1402"/>
      <c r="AS34" s="1402"/>
      <c r="AT34" s="1402"/>
      <c r="AU34" s="17"/>
      <c r="AV34" s="17"/>
      <c r="AW34" s="17"/>
      <c r="AX34" s="17"/>
      <c r="AY34" s="17"/>
      <c r="AZ34" s="17"/>
      <c r="BD34" s="1071" t="s">
        <v>705</v>
      </c>
      <c r="BE34" s="1072" t="str">
        <f>Application!I185</f>
        <v>263 Walnut Avenue</v>
      </c>
    </row>
    <row r="35" spans="1:57" ht="12.95" hidden="1" customHeight="1">
      <c r="A35" s="1402"/>
      <c r="B35" s="1402"/>
      <c r="C35" s="1402"/>
      <c r="D35" s="1402"/>
      <c r="E35" s="1402"/>
      <c r="F35" s="1402"/>
      <c r="G35" s="1402"/>
      <c r="H35" s="1402"/>
      <c r="I35" s="1402"/>
      <c r="J35" s="1402"/>
      <c r="K35" s="1402"/>
      <c r="L35" s="1402"/>
      <c r="M35" s="1402"/>
      <c r="N35" s="1402"/>
      <c r="O35" s="1402"/>
      <c r="P35" s="1402"/>
      <c r="Q35" s="1402"/>
      <c r="R35" s="1402"/>
      <c r="S35" s="1402"/>
      <c r="T35" s="1402"/>
      <c r="U35" s="1402"/>
      <c r="V35" s="1402"/>
      <c r="W35" s="1402"/>
      <c r="X35" s="1402"/>
      <c r="Y35" s="1402"/>
      <c r="Z35" s="1402"/>
      <c r="AA35" s="1402"/>
      <c r="AB35" s="1402"/>
      <c r="AC35" s="1402"/>
      <c r="AD35" s="1402"/>
      <c r="AE35" s="1402"/>
      <c r="AF35" s="1402"/>
      <c r="AG35" s="1402"/>
      <c r="AH35" s="1402"/>
      <c r="AI35" s="1402"/>
      <c r="AJ35" s="1402"/>
      <c r="AK35" s="1402"/>
      <c r="AL35" s="1402"/>
      <c r="AM35" s="1402"/>
      <c r="AN35" s="1402"/>
      <c r="AO35" s="1402"/>
      <c r="AP35" s="1402"/>
      <c r="AQ35" s="1402"/>
      <c r="AR35" s="1402"/>
      <c r="AS35" s="1402"/>
      <c r="AT35" s="1402"/>
      <c r="AU35" s="17"/>
      <c r="AV35" s="17"/>
      <c r="AW35" s="17"/>
      <c r="AX35" s="17"/>
      <c r="AY35" s="17"/>
      <c r="AZ35" s="17"/>
      <c r="BD35" s="1070" t="s">
        <v>706</v>
      </c>
      <c r="BE35" s="1072" t="str">
        <f>IF(Application!E187="","",Application!E187)</f>
        <v/>
      </c>
    </row>
    <row r="36" spans="1:57" ht="12.95" hidden="1" customHeight="1">
      <c r="A36" s="1402"/>
      <c r="B36" s="1402"/>
      <c r="C36" s="1402"/>
      <c r="D36" s="1402"/>
      <c r="E36" s="1402"/>
      <c r="F36" s="1402"/>
      <c r="G36" s="1402"/>
      <c r="H36" s="1402"/>
      <c r="I36" s="1402"/>
      <c r="J36" s="1402"/>
      <c r="K36" s="1402"/>
      <c r="L36" s="1402"/>
      <c r="M36" s="1402"/>
      <c r="N36" s="1402"/>
      <c r="O36" s="1402"/>
      <c r="P36" s="1402"/>
      <c r="Q36" s="1402"/>
      <c r="R36" s="1402"/>
      <c r="S36" s="1402"/>
      <c r="T36" s="1402"/>
      <c r="U36" s="1402"/>
      <c r="V36" s="1402"/>
      <c r="W36" s="1402"/>
      <c r="X36" s="1402"/>
      <c r="Y36" s="1402"/>
      <c r="Z36" s="1402"/>
      <c r="AA36" s="1402"/>
      <c r="AB36" s="1402"/>
      <c r="AC36" s="1402"/>
      <c r="AD36" s="1402"/>
      <c r="AE36" s="1402"/>
      <c r="AF36" s="1402"/>
      <c r="AG36" s="1402"/>
      <c r="AH36" s="1402"/>
      <c r="AI36" s="1402"/>
      <c r="AJ36" s="1402"/>
      <c r="AK36" s="1402"/>
      <c r="AL36" s="1402"/>
      <c r="AM36" s="1402"/>
      <c r="AN36" s="1402"/>
      <c r="AO36" s="1402"/>
      <c r="AP36" s="1402"/>
      <c r="AQ36" s="1402"/>
      <c r="AR36" s="1402"/>
      <c r="AS36" s="1402"/>
      <c r="AT36" s="1402"/>
      <c r="AU36" s="17"/>
      <c r="AV36" s="17"/>
      <c r="AW36" s="17"/>
      <c r="AX36" s="17"/>
      <c r="AY36" s="17"/>
      <c r="AZ36" s="17"/>
      <c r="BD36" s="1071" t="s">
        <v>707</v>
      </c>
      <c r="BE36" s="1072" t="str">
        <f>Application!I189</f>
        <v>Greenfield</v>
      </c>
    </row>
    <row r="37" spans="1:57" ht="12.95" hidden="1" customHeight="1">
      <c r="A37" s="1402"/>
      <c r="B37" s="1402"/>
      <c r="C37" s="1402"/>
      <c r="D37" s="1402"/>
      <c r="E37" s="1402"/>
      <c r="F37" s="1402"/>
      <c r="G37" s="1402"/>
      <c r="H37" s="1402"/>
      <c r="I37" s="1402"/>
      <c r="J37" s="1402"/>
      <c r="K37" s="1402"/>
      <c r="L37" s="1402"/>
      <c r="M37" s="1402"/>
      <c r="N37" s="1402"/>
      <c r="O37" s="1402"/>
      <c r="P37" s="1402"/>
      <c r="Q37" s="1402"/>
      <c r="R37" s="1402"/>
      <c r="S37" s="1402"/>
      <c r="T37" s="1402"/>
      <c r="U37" s="1402"/>
      <c r="V37" s="1402"/>
      <c r="W37" s="1402"/>
      <c r="X37" s="1402"/>
      <c r="Y37" s="1402"/>
      <c r="Z37" s="1402"/>
      <c r="AA37" s="1402"/>
      <c r="AB37" s="1402"/>
      <c r="AC37" s="1402"/>
      <c r="AD37" s="1402"/>
      <c r="AE37" s="1402"/>
      <c r="AF37" s="1402"/>
      <c r="AG37" s="1402"/>
      <c r="AH37" s="1402"/>
      <c r="AI37" s="1402"/>
      <c r="AJ37" s="1402"/>
      <c r="AK37" s="1402"/>
      <c r="AL37" s="1402"/>
      <c r="AM37" s="1402"/>
      <c r="AN37" s="1402"/>
      <c r="AO37" s="1402"/>
      <c r="AP37" s="1402"/>
      <c r="AQ37" s="1402"/>
      <c r="AR37" s="1402"/>
      <c r="AS37" s="1402"/>
      <c r="AT37" s="1402"/>
      <c r="AZ37" s="17"/>
      <c r="BD37" s="1070" t="s">
        <v>708</v>
      </c>
      <c r="BE37" s="1072" t="str">
        <f>Application!T189</f>
        <v>Monterey</v>
      </c>
    </row>
    <row r="38" spans="1:57" ht="12.95" hidden="1" customHeight="1">
      <c r="A38" s="3"/>
      <c r="AZ38" s="17"/>
      <c r="BD38" s="1071" t="s">
        <v>709</v>
      </c>
      <c r="BE38" s="1072">
        <f>Application!I190</f>
        <v>93927</v>
      </c>
    </row>
    <row r="39" spans="1:57" ht="12.95" customHeight="1">
      <c r="A39" s="1404" t="s">
        <v>710</v>
      </c>
      <c r="B39" s="1404"/>
      <c r="C39" s="1404"/>
      <c r="D39" s="1404"/>
      <c r="E39" s="1404"/>
      <c r="F39" s="1404"/>
      <c r="G39" s="1404"/>
      <c r="H39" s="1404"/>
      <c r="I39" s="1404"/>
      <c r="J39" s="1404"/>
      <c r="K39" s="1404"/>
      <c r="L39" s="1404"/>
      <c r="M39" s="1404"/>
      <c r="N39" s="1404"/>
      <c r="O39" s="1404"/>
      <c r="P39" s="1404"/>
      <c r="Q39" s="1404"/>
      <c r="R39" s="1404"/>
      <c r="S39" s="1404"/>
      <c r="T39" s="1404"/>
      <c r="U39" s="1404"/>
      <c r="V39" s="1404"/>
      <c r="W39" s="1404"/>
      <c r="X39" s="1404"/>
      <c r="Y39" s="1404"/>
      <c r="Z39" s="1404"/>
      <c r="AA39" s="1404"/>
      <c r="AB39" s="1404"/>
      <c r="AC39" s="1404"/>
      <c r="AD39" s="1404"/>
      <c r="AE39" s="1404"/>
      <c r="AF39" s="1404"/>
      <c r="AG39" s="1404"/>
      <c r="AH39" s="1404"/>
      <c r="AI39" s="1404"/>
      <c r="AJ39" s="1404"/>
      <c r="AK39" s="1404"/>
      <c r="AL39" s="1404"/>
      <c r="AM39" s="1404"/>
      <c r="AN39" s="1404"/>
      <c r="AO39" s="1404"/>
      <c r="AP39" s="1404"/>
      <c r="AQ39" s="1404"/>
      <c r="AR39" s="1404"/>
      <c r="AS39" s="1404"/>
      <c r="AT39" s="1404"/>
      <c r="AZ39" s="17"/>
      <c r="BD39" s="1070" t="s">
        <v>711</v>
      </c>
      <c r="BE39" s="1072">
        <f>Application!AG446</f>
        <v>100</v>
      </c>
    </row>
    <row r="40" spans="1:57" ht="12.95" customHeight="1">
      <c r="A40" s="1404"/>
      <c r="B40" s="1404"/>
      <c r="C40" s="1404"/>
      <c r="D40" s="1404"/>
      <c r="E40" s="1404"/>
      <c r="F40" s="1404"/>
      <c r="G40" s="1404"/>
      <c r="H40" s="1404"/>
      <c r="I40" s="1404"/>
      <c r="J40" s="1404"/>
      <c r="K40" s="1404"/>
      <c r="L40" s="1404"/>
      <c r="M40" s="1404"/>
      <c r="N40" s="1404"/>
      <c r="O40" s="1404"/>
      <c r="P40" s="1404"/>
      <c r="Q40" s="1404"/>
      <c r="R40" s="1404"/>
      <c r="S40" s="1404"/>
      <c r="T40" s="1404"/>
      <c r="U40" s="1404"/>
      <c r="V40" s="1404"/>
      <c r="W40" s="1404"/>
      <c r="X40" s="1404"/>
      <c r="Y40" s="1404"/>
      <c r="Z40" s="1404"/>
      <c r="AA40" s="1404"/>
      <c r="AB40" s="1404"/>
      <c r="AC40" s="1404"/>
      <c r="AD40" s="1404"/>
      <c r="AE40" s="1404"/>
      <c r="AF40" s="1404"/>
      <c r="AG40" s="1404"/>
      <c r="AH40" s="1404"/>
      <c r="AI40" s="1404"/>
      <c r="AJ40" s="1404"/>
      <c r="AK40" s="1404"/>
      <c r="AL40" s="1404"/>
      <c r="AM40" s="1404"/>
      <c r="AN40" s="1404"/>
      <c r="AO40" s="1404"/>
      <c r="AP40" s="1404"/>
      <c r="AQ40" s="1404"/>
      <c r="AR40" s="1404"/>
      <c r="AS40" s="1404"/>
      <c r="AT40" s="1404"/>
      <c r="AU40" s="17"/>
      <c r="AV40" s="17"/>
      <c r="AW40" s="17"/>
      <c r="AX40" s="17"/>
      <c r="AY40" s="17"/>
      <c r="AZ40" s="17"/>
      <c r="BD40" s="1071" t="s">
        <v>201</v>
      </c>
      <c r="BE40" s="1072">
        <f>Application!AG449</f>
        <v>99</v>
      </c>
    </row>
    <row r="41" spans="1:57" ht="12.95" customHeight="1">
      <c r="A41" s="1404"/>
      <c r="B41" s="1404"/>
      <c r="C41" s="1404"/>
      <c r="D41" s="1404"/>
      <c r="E41" s="1404"/>
      <c r="F41" s="1404"/>
      <c r="G41" s="1404"/>
      <c r="H41" s="1404"/>
      <c r="I41" s="1404"/>
      <c r="J41" s="1404"/>
      <c r="K41" s="1404"/>
      <c r="L41" s="1404"/>
      <c r="M41" s="1404"/>
      <c r="N41" s="1404"/>
      <c r="O41" s="1404"/>
      <c r="P41" s="1404"/>
      <c r="Q41" s="1404"/>
      <c r="R41" s="1404"/>
      <c r="S41" s="1404"/>
      <c r="T41" s="1404"/>
      <c r="U41" s="1404"/>
      <c r="V41" s="1404"/>
      <c r="W41" s="1404"/>
      <c r="X41" s="1404"/>
      <c r="Y41" s="1404"/>
      <c r="Z41" s="1404"/>
      <c r="AA41" s="1404"/>
      <c r="AB41" s="1404"/>
      <c r="AC41" s="1404"/>
      <c r="AD41" s="1404"/>
      <c r="AE41" s="1404"/>
      <c r="AF41" s="1404"/>
      <c r="AG41" s="1404"/>
      <c r="AH41" s="1404"/>
      <c r="AI41" s="1404"/>
      <c r="AJ41" s="1404"/>
      <c r="AK41" s="1404"/>
      <c r="AL41" s="1404"/>
      <c r="AM41" s="1404"/>
      <c r="AN41" s="1404"/>
      <c r="AO41" s="1404"/>
      <c r="AP41" s="1404"/>
      <c r="AQ41" s="1404"/>
      <c r="AR41" s="1404"/>
      <c r="AS41" s="1404"/>
      <c r="AT41" s="1404"/>
      <c r="AU41" s="17"/>
      <c r="AV41" s="17"/>
      <c r="AW41" s="17"/>
      <c r="AX41" s="17"/>
      <c r="AY41" s="17"/>
      <c r="AZ41" s="17"/>
      <c r="BD41" s="1070" t="s">
        <v>209</v>
      </c>
      <c r="BE41" s="1072">
        <f>Application!AG447</f>
        <v>0</v>
      </c>
    </row>
    <row r="42" spans="1:57" ht="12.95" customHeight="1">
      <c r="A42" s="1404"/>
      <c r="B42" s="1404"/>
      <c r="C42" s="1404"/>
      <c r="D42" s="1404"/>
      <c r="E42" s="1404"/>
      <c r="F42" s="1404"/>
      <c r="G42" s="1404"/>
      <c r="H42" s="1404"/>
      <c r="I42" s="1404"/>
      <c r="J42" s="1404"/>
      <c r="K42" s="1404"/>
      <c r="L42" s="1404"/>
      <c r="M42" s="1404"/>
      <c r="N42" s="1404"/>
      <c r="O42" s="1404"/>
      <c r="P42" s="1404"/>
      <c r="Q42" s="1404"/>
      <c r="R42" s="1404"/>
      <c r="S42" s="1404"/>
      <c r="T42" s="1404"/>
      <c r="U42" s="1404"/>
      <c r="V42" s="1404"/>
      <c r="W42" s="1404"/>
      <c r="X42" s="1404"/>
      <c r="Y42" s="1404"/>
      <c r="Z42" s="1404"/>
      <c r="AA42" s="1404"/>
      <c r="AB42" s="1404"/>
      <c r="AC42" s="1404"/>
      <c r="AD42" s="1404"/>
      <c r="AE42" s="1404"/>
      <c r="AF42" s="1404"/>
      <c r="AG42" s="1404"/>
      <c r="AH42" s="1404"/>
      <c r="AI42" s="1404"/>
      <c r="AJ42" s="1404"/>
      <c r="AK42" s="1404"/>
      <c r="AL42" s="1404"/>
      <c r="AM42" s="1404"/>
      <c r="AN42" s="1404"/>
      <c r="AO42" s="1404"/>
      <c r="AP42" s="1404"/>
      <c r="AQ42" s="1404"/>
      <c r="AR42" s="1404"/>
      <c r="AS42" s="1404"/>
      <c r="AT42" s="1404"/>
      <c r="AZ42" s="17"/>
      <c r="BD42" s="1071" t="s">
        <v>712</v>
      </c>
      <c r="BE42" s="1074">
        <f>Application!AC761</f>
        <v>0.43434343434343431</v>
      </c>
    </row>
    <row r="43" spans="1:57" ht="12.95" customHeight="1">
      <c r="A43" s="1404"/>
      <c r="B43" s="1404"/>
      <c r="C43" s="1404"/>
      <c r="D43" s="1404"/>
      <c r="E43" s="1404"/>
      <c r="F43" s="1404"/>
      <c r="G43" s="1404"/>
      <c r="H43" s="1404"/>
      <c r="I43" s="1404"/>
      <c r="J43" s="1404"/>
      <c r="K43" s="1404"/>
      <c r="L43" s="1404"/>
      <c r="M43" s="1404"/>
      <c r="N43" s="1404"/>
      <c r="O43" s="1404"/>
      <c r="P43" s="1404"/>
      <c r="Q43" s="1404"/>
      <c r="R43" s="1404"/>
      <c r="S43" s="1404"/>
      <c r="T43" s="1404"/>
      <c r="U43" s="1404"/>
      <c r="V43" s="1404"/>
      <c r="W43" s="1404"/>
      <c r="X43" s="1404"/>
      <c r="Y43" s="1404"/>
      <c r="Z43" s="1404"/>
      <c r="AA43" s="1404"/>
      <c r="AB43" s="1404"/>
      <c r="AC43" s="1404"/>
      <c r="AD43" s="1404"/>
      <c r="AE43" s="1404"/>
      <c r="AF43" s="1404"/>
      <c r="AG43" s="1404"/>
      <c r="AH43" s="1404"/>
      <c r="AI43" s="1404"/>
      <c r="AJ43" s="1404"/>
      <c r="AK43" s="1404"/>
      <c r="AL43" s="1404"/>
      <c r="AM43" s="1404"/>
      <c r="AN43" s="1404"/>
      <c r="AO43" s="1404"/>
      <c r="AP43" s="1404"/>
      <c r="AQ43" s="1404"/>
      <c r="AR43" s="1404"/>
      <c r="AS43" s="1404"/>
      <c r="AT43" s="1404"/>
      <c r="AU43" s="17"/>
      <c r="AV43" s="17"/>
      <c r="AW43" s="17"/>
      <c r="AX43" s="17"/>
      <c r="AY43" s="17"/>
      <c r="AZ43" s="17"/>
      <c r="BD43" s="1070" t="s">
        <v>713</v>
      </c>
      <c r="BE43" s="1074">
        <f>Application!AH761</f>
        <v>0.43098271089188983</v>
      </c>
    </row>
    <row r="44" spans="1:57" ht="12.95" customHeight="1">
      <c r="A44" s="1404"/>
      <c r="B44" s="1404"/>
      <c r="C44" s="1404"/>
      <c r="D44" s="1404"/>
      <c r="E44" s="1404"/>
      <c r="F44" s="1404"/>
      <c r="G44" s="1404"/>
      <c r="H44" s="1404"/>
      <c r="I44" s="1404"/>
      <c r="J44" s="1404"/>
      <c r="K44" s="1404"/>
      <c r="L44" s="1404"/>
      <c r="M44" s="1404"/>
      <c r="N44" s="1404"/>
      <c r="O44" s="1404"/>
      <c r="P44" s="1404"/>
      <c r="Q44" s="1404"/>
      <c r="R44" s="1404"/>
      <c r="S44" s="1404"/>
      <c r="T44" s="1404"/>
      <c r="U44" s="1404"/>
      <c r="V44" s="1404"/>
      <c r="W44" s="1404"/>
      <c r="X44" s="1404"/>
      <c r="Y44" s="1404"/>
      <c r="Z44" s="1404"/>
      <c r="AA44" s="1404"/>
      <c r="AB44" s="1404"/>
      <c r="AC44" s="1404"/>
      <c r="AD44" s="1404"/>
      <c r="AE44" s="1404"/>
      <c r="AF44" s="1404"/>
      <c r="AG44" s="1404"/>
      <c r="AH44" s="1404"/>
      <c r="AI44" s="1404"/>
      <c r="AJ44" s="1404"/>
      <c r="AK44" s="1404"/>
      <c r="AL44" s="1404"/>
      <c r="AM44" s="1404"/>
      <c r="AN44" s="1404"/>
      <c r="AO44" s="1404"/>
      <c r="AP44" s="1404"/>
      <c r="AQ44" s="1404"/>
      <c r="AR44" s="1404"/>
      <c r="AS44" s="1404"/>
      <c r="AT44" s="1404"/>
      <c r="AU44" s="17"/>
      <c r="AV44" s="17"/>
      <c r="AW44" s="17"/>
      <c r="AX44" s="17"/>
      <c r="AY44" s="17"/>
      <c r="AZ44" s="17"/>
      <c r="BD44" s="1071" t="s">
        <v>714</v>
      </c>
      <c r="BE44" s="1072">
        <f>Application!AC463</f>
        <v>821766.24</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715</v>
      </c>
      <c r="BE45" s="1072">
        <f>Application!AE433</f>
        <v>4</v>
      </c>
    </row>
    <row r="46" spans="1:57" ht="12.95" customHeight="1">
      <c r="A46" s="1234" t="s">
        <v>716</v>
      </c>
      <c r="B46" s="1234"/>
      <c r="C46" s="1234"/>
      <c r="D46" s="1234"/>
      <c r="E46" s="1234"/>
      <c r="F46" s="1234"/>
      <c r="G46" s="1234"/>
      <c r="H46" s="1234"/>
      <c r="I46" s="1234"/>
      <c r="J46" s="1234"/>
      <c r="K46" s="1234"/>
      <c r="L46" s="1234"/>
      <c r="M46" s="1234"/>
      <c r="N46" s="1234"/>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7"/>
      <c r="AV46" s="17"/>
      <c r="AW46" s="17"/>
      <c r="AX46" s="17"/>
      <c r="AY46" s="17"/>
      <c r="AZ46" s="17"/>
      <c r="BD46" s="1071" t="s">
        <v>717</v>
      </c>
      <c r="BE46" s="1072" t="b">
        <f>Application!T195="Yes"</f>
        <v>1</v>
      </c>
    </row>
    <row r="47" spans="1:57" ht="12.95" customHeight="1">
      <c r="A47" s="1234"/>
      <c r="B47" s="1234"/>
      <c r="C47" s="1234"/>
      <c r="D47" s="1234"/>
      <c r="E47" s="1234"/>
      <c r="F47" s="1234"/>
      <c r="G47" s="1234"/>
      <c r="H47" s="1234"/>
      <c r="I47" s="1234"/>
      <c r="J47" s="1234"/>
      <c r="K47" s="1234"/>
      <c r="L47" s="1234"/>
      <c r="M47" s="1234"/>
      <c r="N47" s="1234"/>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7"/>
      <c r="AV47" s="17"/>
      <c r="AW47" s="17"/>
      <c r="AX47" s="17"/>
      <c r="AY47" s="17"/>
      <c r="AZ47" s="17"/>
      <c r="BD47" s="1070" t="s">
        <v>718</v>
      </c>
      <c r="BE47" s="1072" t="b">
        <f>Application!T196="Yes"</f>
        <v>0</v>
      </c>
    </row>
    <row r="48" spans="1:57" ht="12.95" customHeight="1">
      <c r="A48" s="1234"/>
      <c r="B48" s="1234"/>
      <c r="C48" s="1234"/>
      <c r="D48" s="1234"/>
      <c r="E48" s="1234"/>
      <c r="F48" s="1234"/>
      <c r="G48" s="1234"/>
      <c r="H48" s="1234"/>
      <c r="I48" s="1234"/>
      <c r="J48" s="1234"/>
      <c r="K48" s="1234"/>
      <c r="L48" s="1234"/>
      <c r="M48" s="1234"/>
      <c r="N48" s="1234"/>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7"/>
      <c r="AV48" s="17"/>
      <c r="AW48" s="17"/>
      <c r="AX48" s="17"/>
      <c r="AY48" s="17"/>
      <c r="AZ48" s="17"/>
      <c r="BD48" s="1071" t="s">
        <v>719</v>
      </c>
      <c r="BE48" s="1072" t="str">
        <f>Application!M252</f>
        <v>Greenfield EAH II, LLC</v>
      </c>
    </row>
    <row r="49" spans="1:57" ht="12.95" customHeight="1">
      <c r="A49" s="1234"/>
      <c r="B49" s="1234"/>
      <c r="C49" s="1234"/>
      <c r="D49" s="1234"/>
      <c r="E49" s="1234"/>
      <c r="F49" s="1234"/>
      <c r="G49" s="1234"/>
      <c r="H49" s="1234"/>
      <c r="I49" s="1234"/>
      <c r="J49" s="1234"/>
      <c r="K49" s="1234"/>
      <c r="L49" s="1234"/>
      <c r="M49" s="1234"/>
      <c r="N49" s="1234"/>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7"/>
      <c r="AV49" s="17"/>
      <c r="AW49" s="17"/>
      <c r="AX49" s="17"/>
      <c r="AY49" s="17"/>
      <c r="AZ49" s="17"/>
      <c r="BD49" s="1070" t="s">
        <v>720</v>
      </c>
      <c r="BE49" s="1072" t="str">
        <f>Application!M255</f>
        <v>Welton Jordan</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721</v>
      </c>
      <c r="BE50" s="1072" t="str">
        <f>Application!AA258</f>
        <v>EAH Inc.</v>
      </c>
    </row>
    <row r="51" spans="1:57" ht="12.95" customHeight="1">
      <c r="A51" s="1404" t="s">
        <v>722</v>
      </c>
      <c r="B51" s="1404"/>
      <c r="C51" s="1404"/>
      <c r="D51" s="1404"/>
      <c r="E51" s="1404"/>
      <c r="F51" s="1404"/>
      <c r="G51" s="1404"/>
      <c r="H51" s="1404"/>
      <c r="I51" s="1404"/>
      <c r="J51" s="1404"/>
      <c r="K51" s="1404"/>
      <c r="L51" s="1404"/>
      <c r="M51" s="1404"/>
      <c r="N51" s="1404"/>
      <c r="O51" s="1404"/>
      <c r="P51" s="1404"/>
      <c r="Q51" s="1404"/>
      <c r="R51" s="1404"/>
      <c r="S51" s="1404"/>
      <c r="T51" s="1404"/>
      <c r="U51" s="1404"/>
      <c r="V51" s="1404"/>
      <c r="W51" s="1404"/>
      <c r="X51" s="1404"/>
      <c r="Y51" s="1404"/>
      <c r="Z51" s="1404"/>
      <c r="AA51" s="1404"/>
      <c r="AB51" s="1404"/>
      <c r="AC51" s="1404"/>
      <c r="AD51" s="1404"/>
      <c r="AE51" s="1404"/>
      <c r="AF51" s="1404"/>
      <c r="AG51" s="1404"/>
      <c r="AH51" s="1404"/>
      <c r="AI51" s="1404"/>
      <c r="AJ51" s="1404"/>
      <c r="AK51" s="1404"/>
      <c r="AL51" s="1404"/>
      <c r="AM51" s="1404"/>
      <c r="AN51" s="1404"/>
      <c r="AO51" s="1404"/>
      <c r="AP51" s="1404"/>
      <c r="AQ51" s="1404"/>
      <c r="AR51" s="1404"/>
      <c r="AS51" s="1404"/>
      <c r="AT51" s="1404"/>
      <c r="AU51" s="17"/>
      <c r="AV51" s="17"/>
      <c r="AW51" s="17"/>
      <c r="AX51" s="17"/>
      <c r="AY51" s="17"/>
      <c r="AZ51" s="17"/>
      <c r="BD51" s="1070" t="s">
        <v>723</v>
      </c>
      <c r="BE51" s="1072">
        <f>Application!M260</f>
        <v>0</v>
      </c>
    </row>
    <row r="52" spans="1:57" ht="12.95" customHeight="1">
      <c r="A52" s="1404"/>
      <c r="B52" s="1404"/>
      <c r="C52" s="1404"/>
      <c r="D52" s="1404"/>
      <c r="E52" s="1404"/>
      <c r="F52" s="1404"/>
      <c r="G52" s="1404"/>
      <c r="H52" s="1404"/>
      <c r="I52" s="1404"/>
      <c r="J52" s="1404"/>
      <c r="K52" s="1404"/>
      <c r="L52" s="1404"/>
      <c r="M52" s="1404"/>
      <c r="N52" s="1404"/>
      <c r="O52" s="1404"/>
      <c r="P52" s="1404"/>
      <c r="Q52" s="1404"/>
      <c r="R52" s="1404"/>
      <c r="S52" s="1404"/>
      <c r="T52" s="1404"/>
      <c r="U52" s="1404"/>
      <c r="V52" s="1404"/>
      <c r="W52" s="1404"/>
      <c r="X52" s="1404"/>
      <c r="Y52" s="1404"/>
      <c r="Z52" s="1404"/>
      <c r="AA52" s="1404"/>
      <c r="AB52" s="1404"/>
      <c r="AC52" s="1404"/>
      <c r="AD52" s="1404"/>
      <c r="AE52" s="1404"/>
      <c r="AF52" s="1404"/>
      <c r="AG52" s="1404"/>
      <c r="AH52" s="1404"/>
      <c r="AI52" s="1404"/>
      <c r="AJ52" s="1404"/>
      <c r="AK52" s="1404"/>
      <c r="AL52" s="1404"/>
      <c r="AM52" s="1404"/>
      <c r="AN52" s="1404"/>
      <c r="AO52" s="1404"/>
      <c r="AP52" s="1404"/>
      <c r="AQ52" s="1404"/>
      <c r="AR52" s="1404"/>
      <c r="AS52" s="1404"/>
      <c r="AT52" s="1404"/>
      <c r="AU52" s="17"/>
      <c r="AV52" s="17"/>
      <c r="AW52" s="17"/>
      <c r="AX52" s="17"/>
      <c r="AY52" s="17"/>
      <c r="AZ52" s="17"/>
      <c r="BD52" s="1071" t="s">
        <v>724</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725</v>
      </c>
      <c r="BE53" s="1072">
        <f>Application!AA266</f>
        <v>0</v>
      </c>
    </row>
    <row r="54" spans="1:57" ht="12.95" customHeight="1">
      <c r="A54" s="1404" t="s">
        <v>726</v>
      </c>
      <c r="B54" s="1404"/>
      <c r="C54" s="1404"/>
      <c r="D54" s="1404"/>
      <c r="E54" s="1404"/>
      <c r="F54" s="1404"/>
      <c r="G54" s="1404"/>
      <c r="H54" s="1404"/>
      <c r="I54" s="1404"/>
      <c r="J54" s="1404"/>
      <c r="K54" s="1404"/>
      <c r="L54" s="1404"/>
      <c r="M54" s="1404"/>
      <c r="N54" s="1404"/>
      <c r="O54" s="1404"/>
      <c r="P54" s="1404"/>
      <c r="Q54" s="1404"/>
      <c r="R54" s="1404"/>
      <c r="S54" s="1404"/>
      <c r="T54" s="1404"/>
      <c r="U54" s="1404"/>
      <c r="V54" s="1404"/>
      <c r="W54" s="1404"/>
      <c r="X54" s="1404"/>
      <c r="Y54" s="1404"/>
      <c r="Z54" s="1404"/>
      <c r="AA54" s="1404"/>
      <c r="AB54" s="1404"/>
      <c r="AC54" s="1404"/>
      <c r="AD54" s="1404"/>
      <c r="AE54" s="1404"/>
      <c r="AF54" s="1404"/>
      <c r="AG54" s="1404"/>
      <c r="AH54" s="1404"/>
      <c r="AI54" s="1404"/>
      <c r="AJ54" s="1404"/>
      <c r="AK54" s="1404"/>
      <c r="AL54" s="1404"/>
      <c r="AM54" s="1404"/>
      <c r="AN54" s="1404"/>
      <c r="AO54" s="1404"/>
      <c r="AP54" s="1404"/>
      <c r="AQ54" s="1404"/>
      <c r="AR54" s="1404"/>
      <c r="AS54" s="1404"/>
      <c r="AT54" s="1404"/>
      <c r="AU54" s="17"/>
      <c r="AV54" s="17"/>
      <c r="AW54" s="17"/>
      <c r="AX54" s="17"/>
      <c r="AY54" s="17"/>
      <c r="AZ54" s="18"/>
      <c r="BD54" s="1071" t="s">
        <v>727</v>
      </c>
      <c r="BE54" s="1072">
        <f>Application!M268</f>
        <v>0</v>
      </c>
    </row>
    <row r="55" spans="1:57" ht="12.95" customHeight="1">
      <c r="A55" s="1404"/>
      <c r="B55" s="1404"/>
      <c r="C55" s="1404"/>
      <c r="D55" s="1404"/>
      <c r="E55" s="1404"/>
      <c r="F55" s="1404"/>
      <c r="G55" s="1404"/>
      <c r="H55" s="1404"/>
      <c r="I55" s="1404"/>
      <c r="J55" s="1404"/>
      <c r="K55" s="1404"/>
      <c r="L55" s="1404"/>
      <c r="M55" s="1404"/>
      <c r="N55" s="1404"/>
      <c r="O55" s="1404"/>
      <c r="P55" s="1404"/>
      <c r="Q55" s="1404"/>
      <c r="R55" s="1404"/>
      <c r="S55" s="1404"/>
      <c r="T55" s="1404"/>
      <c r="U55" s="1404"/>
      <c r="V55" s="1404"/>
      <c r="W55" s="1404"/>
      <c r="X55" s="1404"/>
      <c r="Y55" s="1404"/>
      <c r="Z55" s="1404"/>
      <c r="AA55" s="1404"/>
      <c r="AB55" s="1404"/>
      <c r="AC55" s="1404"/>
      <c r="AD55" s="1404"/>
      <c r="AE55" s="1404"/>
      <c r="AF55" s="1404"/>
      <c r="AG55" s="1404"/>
      <c r="AH55" s="1404"/>
      <c r="AI55" s="1404"/>
      <c r="AJ55" s="1404"/>
      <c r="AK55" s="1404"/>
      <c r="AL55" s="1404"/>
      <c r="AM55" s="1404"/>
      <c r="AN55" s="1404"/>
      <c r="AO55" s="1404"/>
      <c r="AP55" s="1404"/>
      <c r="AQ55" s="1404"/>
      <c r="AR55" s="1404"/>
      <c r="AS55" s="1404"/>
      <c r="AT55" s="1404"/>
      <c r="AZ55" s="18"/>
      <c r="BD55" s="1070" t="s">
        <v>728</v>
      </c>
      <c r="BE55" s="1072">
        <f>Application!M271</f>
        <v>0</v>
      </c>
    </row>
    <row r="56" spans="1:57" ht="12.95" customHeight="1">
      <c r="A56" s="1404"/>
      <c r="B56" s="1404"/>
      <c r="C56" s="1404"/>
      <c r="D56" s="1404"/>
      <c r="E56" s="1404"/>
      <c r="F56" s="1404"/>
      <c r="G56" s="1404"/>
      <c r="H56" s="1404"/>
      <c r="I56" s="1404"/>
      <c r="J56" s="1404"/>
      <c r="K56" s="1404"/>
      <c r="L56" s="1404"/>
      <c r="M56" s="1404"/>
      <c r="N56" s="1404"/>
      <c r="O56" s="1404"/>
      <c r="P56" s="1404"/>
      <c r="Q56" s="1404"/>
      <c r="R56" s="1404"/>
      <c r="S56" s="1404"/>
      <c r="T56" s="1404"/>
      <c r="U56" s="1404"/>
      <c r="V56" s="1404"/>
      <c r="W56" s="1404"/>
      <c r="X56" s="1404"/>
      <c r="Y56" s="1404"/>
      <c r="Z56" s="1404"/>
      <c r="AA56" s="1404"/>
      <c r="AB56" s="1404"/>
      <c r="AC56" s="1404"/>
      <c r="AD56" s="1404"/>
      <c r="AE56" s="1404"/>
      <c r="AF56" s="1404"/>
      <c r="AG56" s="1404"/>
      <c r="AH56" s="1404"/>
      <c r="AI56" s="1404"/>
      <c r="AJ56" s="1404"/>
      <c r="AK56" s="1404"/>
      <c r="AL56" s="1404"/>
      <c r="AM56" s="1404"/>
      <c r="AN56" s="1404"/>
      <c r="AO56" s="1404"/>
      <c r="AP56" s="1404"/>
      <c r="AQ56" s="1404"/>
      <c r="AR56" s="1404"/>
      <c r="AS56" s="1404"/>
      <c r="AT56" s="1404"/>
      <c r="BD56" s="1071" t="s">
        <v>729</v>
      </c>
      <c r="BE56" s="1072">
        <f>Application!AA274</f>
        <v>0</v>
      </c>
    </row>
    <row r="57" spans="1:57" ht="12.95" customHeight="1">
      <c r="A57" s="1404"/>
      <c r="B57" s="1404"/>
      <c r="C57" s="1404"/>
      <c r="D57" s="1404"/>
      <c r="E57" s="1404"/>
      <c r="F57" s="1404"/>
      <c r="G57" s="1404"/>
      <c r="H57" s="1404"/>
      <c r="I57" s="1404"/>
      <c r="J57" s="1404"/>
      <c r="K57" s="1404"/>
      <c r="L57" s="1404"/>
      <c r="M57" s="1404"/>
      <c r="N57" s="1404"/>
      <c r="O57" s="1404"/>
      <c r="P57" s="1404"/>
      <c r="Q57" s="1404"/>
      <c r="R57" s="1404"/>
      <c r="S57" s="1404"/>
      <c r="T57" s="1404"/>
      <c r="U57" s="1404"/>
      <c r="V57" s="1404"/>
      <c r="W57" s="1404"/>
      <c r="X57" s="1404"/>
      <c r="Y57" s="1404"/>
      <c r="Z57" s="1404"/>
      <c r="AA57" s="1404"/>
      <c r="AB57" s="1404"/>
      <c r="AC57" s="1404"/>
      <c r="AD57" s="1404"/>
      <c r="AE57" s="1404"/>
      <c r="AF57" s="1404"/>
      <c r="AG57" s="1404"/>
      <c r="AH57" s="1404"/>
      <c r="AI57" s="1404"/>
      <c r="AJ57" s="1404"/>
      <c r="AK57" s="1404"/>
      <c r="AL57" s="1404"/>
      <c r="AM57" s="1404"/>
      <c r="AN57" s="1404"/>
      <c r="AO57" s="1404"/>
      <c r="AP57" s="1404"/>
      <c r="AQ57" s="1404"/>
      <c r="AR57" s="1404"/>
      <c r="AS57" s="1404"/>
      <c r="AT57" s="1404"/>
      <c r="BD57" s="1070" t="s">
        <v>730</v>
      </c>
      <c r="BE57" s="1072" t="str">
        <f>Application!H296</f>
        <v>EAH Inc.</v>
      </c>
    </row>
    <row r="58" spans="1:57" ht="12.95" customHeight="1">
      <c r="A58" s="1404"/>
      <c r="B58" s="1404"/>
      <c r="C58" s="1404"/>
      <c r="D58" s="1404"/>
      <c r="E58" s="1404"/>
      <c r="F58" s="1404"/>
      <c r="G58" s="1404"/>
      <c r="H58" s="1404"/>
      <c r="I58" s="1404"/>
      <c r="J58" s="1404"/>
      <c r="K58" s="1404"/>
      <c r="L58" s="1404"/>
      <c r="M58" s="1404"/>
      <c r="N58" s="1404"/>
      <c r="O58" s="1404"/>
      <c r="P58" s="1404"/>
      <c r="Q58" s="1404"/>
      <c r="R58" s="1404"/>
      <c r="S58" s="1404"/>
      <c r="T58" s="1404"/>
      <c r="U58" s="1404"/>
      <c r="V58" s="1404"/>
      <c r="W58" s="1404"/>
      <c r="X58" s="1404"/>
      <c r="Y58" s="1404"/>
      <c r="Z58" s="1404"/>
      <c r="AA58" s="1404"/>
      <c r="AB58" s="1404"/>
      <c r="AC58" s="1404"/>
      <c r="AD58" s="1404"/>
      <c r="AE58" s="1404"/>
      <c r="AF58" s="1404"/>
      <c r="AG58" s="1404"/>
      <c r="AH58" s="1404"/>
      <c r="AI58" s="1404"/>
      <c r="AJ58" s="1404"/>
      <c r="AK58" s="1404"/>
      <c r="AL58" s="1404"/>
      <c r="AM58" s="1404"/>
      <c r="AN58" s="1404"/>
      <c r="AO58" s="1404"/>
      <c r="AP58" s="1404"/>
      <c r="AQ58" s="1404"/>
      <c r="AR58" s="1404"/>
      <c r="AS58" s="1404"/>
      <c r="AT58" s="1404"/>
      <c r="BD58" s="1071" t="s">
        <v>731</v>
      </c>
      <c r="BE58" s="1072" t="str">
        <f>Application!H297</f>
        <v xml:space="preserve">22 Pelican Way </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732</v>
      </c>
      <c r="BE59" s="1072" t="str">
        <f>Application!H298</f>
        <v>San Rafael, CA, 94901</v>
      </c>
    </row>
    <row r="60" spans="1:57" ht="12.95" customHeight="1">
      <c r="A60" s="1404" t="s">
        <v>733</v>
      </c>
      <c r="B60" s="1404"/>
      <c r="C60" s="1404"/>
      <c r="D60" s="1404"/>
      <c r="E60" s="1404"/>
      <c r="F60" s="1404"/>
      <c r="G60" s="1404"/>
      <c r="H60" s="1404"/>
      <c r="I60" s="1404"/>
      <c r="J60" s="1404"/>
      <c r="K60" s="1404"/>
      <c r="L60" s="1404"/>
      <c r="M60" s="1404"/>
      <c r="N60" s="1404"/>
      <c r="O60" s="1404"/>
      <c r="P60" s="1404"/>
      <c r="Q60" s="1404"/>
      <c r="R60" s="1404"/>
      <c r="S60" s="1404"/>
      <c r="T60" s="1404"/>
      <c r="U60" s="1404"/>
      <c r="V60" s="1404"/>
      <c r="W60" s="1404"/>
      <c r="X60" s="1404"/>
      <c r="Y60" s="1404"/>
      <c r="Z60" s="1404"/>
      <c r="AA60" s="1404"/>
      <c r="AB60" s="1404"/>
      <c r="AC60" s="1404"/>
      <c r="AD60" s="1404"/>
      <c r="AE60" s="1404"/>
      <c r="AF60" s="1404"/>
      <c r="AG60" s="1404"/>
      <c r="AH60" s="1404"/>
      <c r="AI60" s="1404"/>
      <c r="AJ60" s="1404"/>
      <c r="AK60" s="1404"/>
      <c r="AL60" s="1404"/>
      <c r="AM60" s="1404"/>
      <c r="AN60" s="1404"/>
      <c r="AO60" s="1404"/>
      <c r="AP60" s="1404"/>
      <c r="AQ60" s="1404"/>
      <c r="AR60" s="1404"/>
      <c r="AS60" s="1404"/>
      <c r="AT60" s="1404"/>
      <c r="AU60" s="17"/>
      <c r="AV60" s="17"/>
      <c r="AW60" s="17"/>
      <c r="AX60" s="17"/>
      <c r="AY60" s="17"/>
      <c r="AZ60" s="17"/>
      <c r="BD60" s="1071" t="s">
        <v>734</v>
      </c>
      <c r="BE60" s="1072" t="str">
        <f>Application!H299</f>
        <v xml:space="preserve">Welton Jordan </v>
      </c>
    </row>
    <row r="61" spans="1:57" ht="12.95" customHeight="1">
      <c r="A61" s="1404"/>
      <c r="B61" s="1404"/>
      <c r="C61" s="1404"/>
      <c r="D61" s="1404"/>
      <c r="E61" s="1404"/>
      <c r="F61" s="1404"/>
      <c r="G61" s="1404"/>
      <c r="H61" s="1404"/>
      <c r="I61" s="1404"/>
      <c r="J61" s="1404"/>
      <c r="K61" s="1404"/>
      <c r="L61" s="1404"/>
      <c r="M61" s="1404"/>
      <c r="N61" s="1404"/>
      <c r="O61" s="1404"/>
      <c r="P61" s="1404"/>
      <c r="Q61" s="1404"/>
      <c r="R61" s="1404"/>
      <c r="S61" s="1404"/>
      <c r="T61" s="1404"/>
      <c r="U61" s="1404"/>
      <c r="V61" s="1404"/>
      <c r="W61" s="1404"/>
      <c r="X61" s="1404"/>
      <c r="Y61" s="1404"/>
      <c r="Z61" s="1404"/>
      <c r="AA61" s="1404"/>
      <c r="AB61" s="1404"/>
      <c r="AC61" s="1404"/>
      <c r="AD61" s="1404"/>
      <c r="AE61" s="1404"/>
      <c r="AF61" s="1404"/>
      <c r="AG61" s="1404"/>
      <c r="AH61" s="1404"/>
      <c r="AI61" s="1404"/>
      <c r="AJ61" s="1404"/>
      <c r="AK61" s="1404"/>
      <c r="AL61" s="1404"/>
      <c r="AM61" s="1404"/>
      <c r="AN61" s="1404"/>
      <c r="AO61" s="1404"/>
      <c r="AP61" s="1404"/>
      <c r="AQ61" s="1404"/>
      <c r="AR61" s="1404"/>
      <c r="AS61" s="1404"/>
      <c r="AT61" s="1404"/>
      <c r="AU61" s="17"/>
      <c r="AV61" s="17"/>
      <c r="AW61" s="17"/>
      <c r="AX61" s="17"/>
      <c r="AY61" s="17"/>
      <c r="AZ61" s="17"/>
      <c r="BD61" s="1070" t="s">
        <v>735</v>
      </c>
      <c r="BE61" s="1072" t="str">
        <f>Application!H302</f>
        <v>welton.jordan@eahhousing.org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736</v>
      </c>
      <c r="BE62" s="1075">
        <f>'Basis &amp; Credits'!AB50</f>
        <v>0.81697072105157698</v>
      </c>
    </row>
    <row r="63" spans="1:57" ht="12.95" customHeight="1">
      <c r="A63" s="419" t="s">
        <v>737</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738</v>
      </c>
      <c r="BE63" s="1075">
        <f>'Basis &amp; Credits'!AB72</f>
        <v>0.92</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739</v>
      </c>
      <c r="BE64" s="1072" t="b">
        <f>Application!X180="Yes"</f>
        <v>0</v>
      </c>
    </row>
    <row r="65" spans="1:57" ht="12.95" customHeight="1">
      <c r="A65" s="1404" t="s">
        <v>740</v>
      </c>
      <c r="B65" s="1404"/>
      <c r="C65" s="1404"/>
      <c r="D65" s="1404"/>
      <c r="E65" s="1404"/>
      <c r="F65" s="1404"/>
      <c r="G65" s="1404"/>
      <c r="H65" s="1404"/>
      <c r="I65" s="1404"/>
      <c r="J65" s="1404"/>
      <c r="K65" s="1404"/>
      <c r="L65" s="1404"/>
      <c r="M65" s="1404"/>
      <c r="N65" s="1404"/>
      <c r="O65" s="1404"/>
      <c r="P65" s="1404"/>
      <c r="Q65" s="1404"/>
      <c r="R65" s="1404"/>
      <c r="S65" s="1404"/>
      <c r="T65" s="1404"/>
      <c r="U65" s="1404"/>
      <c r="V65" s="1404"/>
      <c r="W65" s="1404"/>
      <c r="X65" s="1404"/>
      <c r="Y65" s="1404"/>
      <c r="Z65" s="1404"/>
      <c r="AA65" s="1404"/>
      <c r="AB65" s="1404"/>
      <c r="AC65" s="1404"/>
      <c r="AD65" s="1404"/>
      <c r="AE65" s="1404"/>
      <c r="AF65" s="1404"/>
      <c r="AG65" s="1404"/>
      <c r="AH65" s="1404"/>
      <c r="AI65" s="1404"/>
      <c r="AJ65" s="1404"/>
      <c r="AK65" s="1404"/>
      <c r="AL65" s="1404"/>
      <c r="AM65" s="1404"/>
      <c r="AN65" s="1404"/>
      <c r="AO65" s="1404"/>
      <c r="AP65" s="1404"/>
      <c r="AQ65" s="1404"/>
      <c r="AR65" s="1404"/>
      <c r="AS65" s="1404"/>
      <c r="AT65" s="1404"/>
      <c r="AU65" s="18"/>
      <c r="AV65" s="18"/>
      <c r="AW65" s="18"/>
      <c r="AX65" s="18"/>
      <c r="AY65" s="18"/>
      <c r="AZ65" s="17"/>
      <c r="BD65" s="1070" t="s">
        <v>741</v>
      </c>
      <c r="BE65" s="1072" t="str">
        <f>Z205</f>
        <v>$500M</v>
      </c>
    </row>
    <row r="66" spans="1:57" ht="12.95" customHeight="1">
      <c r="A66" s="1404"/>
      <c r="B66" s="1404"/>
      <c r="C66" s="1404"/>
      <c r="D66" s="1404"/>
      <c r="E66" s="1404"/>
      <c r="F66" s="1404"/>
      <c r="G66" s="1404"/>
      <c r="H66" s="1404"/>
      <c r="I66" s="1404"/>
      <c r="J66" s="1404"/>
      <c r="K66" s="1404"/>
      <c r="L66" s="1404"/>
      <c r="M66" s="1404"/>
      <c r="N66" s="1404"/>
      <c r="O66" s="1404"/>
      <c r="P66" s="1404"/>
      <c r="Q66" s="1404"/>
      <c r="R66" s="1404"/>
      <c r="S66" s="1404"/>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8"/>
      <c r="AV66" s="18"/>
      <c r="AW66" s="18"/>
      <c r="AX66" s="18"/>
      <c r="AY66" s="18"/>
      <c r="AZ66" s="17"/>
      <c r="BD66" s="1071" t="s">
        <v>742</v>
      </c>
      <c r="BE66" s="1072" t="b">
        <f>Application!Z205="State Farmworker Credit"</f>
        <v>0</v>
      </c>
    </row>
    <row r="67" spans="1:57" ht="12.95" customHeight="1">
      <c r="A67" s="1404"/>
      <c r="B67" s="1404"/>
      <c r="C67" s="1404"/>
      <c r="D67" s="1404"/>
      <c r="E67" s="1404"/>
      <c r="F67" s="1404"/>
      <c r="G67" s="1404"/>
      <c r="H67" s="1404"/>
      <c r="I67" s="1404"/>
      <c r="J67" s="1404"/>
      <c r="K67" s="1404"/>
      <c r="L67" s="1404"/>
      <c r="M67" s="1404"/>
      <c r="N67" s="1404"/>
      <c r="O67" s="1404"/>
      <c r="P67" s="1404"/>
      <c r="Q67" s="1404"/>
      <c r="R67" s="1404"/>
      <c r="S67" s="1404"/>
      <c r="T67" s="1404"/>
      <c r="U67" s="1404"/>
      <c r="V67" s="1404"/>
      <c r="W67" s="1404"/>
      <c r="X67" s="1404"/>
      <c r="Y67" s="1404"/>
      <c r="Z67" s="1404"/>
      <c r="AA67" s="1404"/>
      <c r="AB67" s="1404"/>
      <c r="AC67" s="1404"/>
      <c r="AD67" s="1404"/>
      <c r="AE67" s="1404"/>
      <c r="AF67" s="1404"/>
      <c r="AG67" s="1404"/>
      <c r="AH67" s="1404"/>
      <c r="AI67" s="1404"/>
      <c r="AJ67" s="1404"/>
      <c r="AK67" s="1404"/>
      <c r="AL67" s="1404"/>
      <c r="AM67" s="1404"/>
      <c r="AN67" s="1404"/>
      <c r="AO67" s="1404"/>
      <c r="AP67" s="1404"/>
      <c r="AQ67" s="1404"/>
      <c r="AR67" s="1404"/>
      <c r="AS67" s="1404"/>
      <c r="AT67" s="1404"/>
      <c r="AZ67" s="17"/>
      <c r="BD67" s="1070" t="s">
        <v>743</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744</v>
      </c>
      <c r="BE68" s="1072">
        <f>'Sources and Uses Budget'!D105</f>
        <v>0</v>
      </c>
    </row>
    <row r="69" spans="1:57" ht="12.95" customHeight="1">
      <c r="A69" s="1404" t="s">
        <v>745</v>
      </c>
      <c r="B69" s="1404"/>
      <c r="C69" s="1404"/>
      <c r="D69" s="1404"/>
      <c r="E69" s="1404"/>
      <c r="F69" s="1404"/>
      <c r="G69" s="1404"/>
      <c r="H69" s="1404"/>
      <c r="I69" s="1404"/>
      <c r="J69" s="1404"/>
      <c r="K69" s="1404"/>
      <c r="L69" s="1404"/>
      <c r="M69" s="1404"/>
      <c r="N69" s="1404"/>
      <c r="O69" s="1404"/>
      <c r="P69" s="1404"/>
      <c r="Q69" s="1404"/>
      <c r="R69" s="1404"/>
      <c r="S69" s="1404"/>
      <c r="T69" s="1404"/>
      <c r="U69" s="1404"/>
      <c r="V69" s="1404"/>
      <c r="W69" s="1404"/>
      <c r="X69" s="1404"/>
      <c r="Y69" s="1404"/>
      <c r="Z69" s="1404"/>
      <c r="AA69" s="1404"/>
      <c r="AB69" s="1404"/>
      <c r="AC69" s="1404"/>
      <c r="AD69" s="1404"/>
      <c r="AE69" s="1404"/>
      <c r="AF69" s="1404"/>
      <c r="AG69" s="1404"/>
      <c r="AH69" s="1404"/>
      <c r="AI69" s="1404"/>
      <c r="AJ69" s="1404"/>
      <c r="AK69" s="1404"/>
      <c r="AL69" s="1404"/>
      <c r="AM69" s="1404"/>
      <c r="AN69" s="1404"/>
      <c r="AO69" s="1404"/>
      <c r="AP69" s="1404"/>
      <c r="AQ69" s="1404"/>
      <c r="AR69" s="1404"/>
      <c r="AS69" s="1404"/>
      <c r="AT69" s="1404"/>
      <c r="AZ69" s="17"/>
      <c r="BD69" s="1070" t="s">
        <v>746</v>
      </c>
      <c r="BE69" s="1072" t="str">
        <f>Application!W708</f>
        <v>California Municipal Finance Authority</v>
      </c>
    </row>
    <row r="70" spans="1:57" ht="12.95" customHeight="1">
      <c r="A70" s="1404"/>
      <c r="B70" s="1404"/>
      <c r="C70" s="1404"/>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c r="AE70" s="1404"/>
      <c r="AF70" s="1404"/>
      <c r="AG70" s="1404"/>
      <c r="AH70" s="1404"/>
      <c r="AI70" s="1404"/>
      <c r="AJ70" s="1404"/>
      <c r="AK70" s="1404"/>
      <c r="AL70" s="1404"/>
      <c r="AM70" s="1404"/>
      <c r="AN70" s="1404"/>
      <c r="AO70" s="1404"/>
      <c r="AP70" s="1404"/>
      <c r="AQ70" s="1404"/>
      <c r="AR70" s="1404"/>
      <c r="AS70" s="1404"/>
      <c r="AT70" s="1404"/>
      <c r="AU70" s="17"/>
      <c r="AV70" s="17"/>
      <c r="AW70" s="17"/>
      <c r="AX70" s="17"/>
      <c r="AY70" s="17"/>
      <c r="AZ70" s="17"/>
      <c r="BD70" s="1071" t="s">
        <v>747</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748</v>
      </c>
      <c r="BE71" s="1072">
        <f>'Points System'!AF826</f>
        <v>0</v>
      </c>
    </row>
    <row r="72" spans="1:57" ht="12.95" customHeight="1">
      <c r="A72" s="1402" t="s">
        <v>749</v>
      </c>
      <c r="B72" s="1402"/>
      <c r="C72" s="1402"/>
      <c r="D72" s="1402"/>
      <c r="E72" s="1402"/>
      <c r="F72" s="1402"/>
      <c r="G72" s="1402"/>
      <c r="H72" s="1402"/>
      <c r="I72" s="1402"/>
      <c r="J72" s="1402"/>
      <c r="K72" s="1402"/>
      <c r="L72" s="1402"/>
      <c r="M72" s="1402"/>
      <c r="N72" s="1402"/>
      <c r="O72" s="1402"/>
      <c r="P72" s="1402"/>
      <c r="Q72" s="1402"/>
      <c r="R72" s="1402"/>
      <c r="S72" s="1402"/>
      <c r="T72" s="1402"/>
      <c r="U72" s="1402"/>
      <c r="V72" s="1402"/>
      <c r="W72" s="1402"/>
      <c r="X72" s="1402"/>
      <c r="Y72" s="1402"/>
      <c r="Z72" s="1402"/>
      <c r="AA72" s="1402"/>
      <c r="AB72" s="1402"/>
      <c r="AC72" s="1402"/>
      <c r="AD72" s="1402"/>
      <c r="AE72" s="1402"/>
      <c r="AF72" s="1402"/>
      <c r="AG72" s="1402"/>
      <c r="AH72" s="1402"/>
      <c r="AI72" s="1402"/>
      <c r="AJ72" s="1402"/>
      <c r="AK72" s="1402"/>
      <c r="AL72" s="1402"/>
      <c r="AM72" s="1402"/>
      <c r="AN72" s="1402"/>
      <c r="AO72" s="1402"/>
      <c r="AP72" s="1402"/>
      <c r="AQ72" s="1402"/>
      <c r="AR72" s="1402"/>
      <c r="AS72" s="1402"/>
      <c r="AT72" s="1402"/>
      <c r="AU72" s="17"/>
      <c r="AV72" s="17"/>
      <c r="AW72" s="17"/>
      <c r="AX72" s="17"/>
      <c r="AY72" s="17"/>
      <c r="AZ72" s="17"/>
      <c r="BD72" s="1071" t="s">
        <v>750</v>
      </c>
      <c r="BE72" s="1072">
        <f>'Points System'!AF827</f>
        <v>10</v>
      </c>
    </row>
    <row r="73" spans="1:57" ht="12.95" customHeight="1">
      <c r="A73" s="1402"/>
      <c r="B73" s="1402"/>
      <c r="C73" s="1402"/>
      <c r="D73" s="1402"/>
      <c r="E73" s="1402"/>
      <c r="F73" s="1402"/>
      <c r="G73" s="1402"/>
      <c r="H73" s="1402"/>
      <c r="I73" s="1402"/>
      <c r="J73" s="1402"/>
      <c r="K73" s="1402"/>
      <c r="L73" s="1402"/>
      <c r="M73" s="1402"/>
      <c r="N73" s="1402"/>
      <c r="O73" s="1402"/>
      <c r="P73" s="1402"/>
      <c r="Q73" s="1402"/>
      <c r="R73" s="1402"/>
      <c r="S73" s="1402"/>
      <c r="T73" s="1402"/>
      <c r="U73" s="1402"/>
      <c r="V73" s="1402"/>
      <c r="W73" s="1402"/>
      <c r="X73" s="1402"/>
      <c r="Y73" s="1402"/>
      <c r="Z73" s="1402"/>
      <c r="AA73" s="1402"/>
      <c r="AB73" s="1402"/>
      <c r="AC73" s="1402"/>
      <c r="AD73" s="1402"/>
      <c r="AE73" s="1402"/>
      <c r="AF73" s="1402"/>
      <c r="AG73" s="1402"/>
      <c r="AH73" s="1402"/>
      <c r="AI73" s="1402"/>
      <c r="AJ73" s="1402"/>
      <c r="AK73" s="1402"/>
      <c r="AL73" s="1402"/>
      <c r="AM73" s="1402"/>
      <c r="AN73" s="1402"/>
      <c r="AO73" s="1402"/>
      <c r="AP73" s="1402"/>
      <c r="AQ73" s="1402"/>
      <c r="AR73" s="1402"/>
      <c r="AS73" s="1402"/>
      <c r="AT73" s="1402"/>
      <c r="AU73" s="17"/>
      <c r="AV73" s="17"/>
      <c r="AW73" s="17"/>
      <c r="AX73" s="17"/>
      <c r="AY73" s="17"/>
      <c r="AZ73" s="17"/>
      <c r="BD73" s="1070" t="s">
        <v>751</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752</v>
      </c>
      <c r="BE74" s="1072">
        <f>'Points System'!AF829</f>
        <v>10</v>
      </c>
    </row>
    <row r="75" spans="1:57" ht="12.95" customHeight="1">
      <c r="A75" s="1661" t="s">
        <v>753</v>
      </c>
      <c r="B75" s="1661"/>
      <c r="C75" s="1661"/>
      <c r="D75" s="1661"/>
      <c r="E75" s="1661"/>
      <c r="F75" s="1661"/>
      <c r="G75" s="1661"/>
      <c r="H75" s="1661"/>
      <c r="I75" s="1661"/>
      <c r="J75" s="1661"/>
      <c r="K75" s="1661"/>
      <c r="L75" s="1661"/>
      <c r="M75" s="1661"/>
      <c r="N75" s="1661"/>
      <c r="O75" s="1661"/>
      <c r="P75" s="1661"/>
      <c r="Q75" s="1661"/>
      <c r="R75" s="1661"/>
      <c r="S75" s="1661"/>
      <c r="T75" s="1661"/>
      <c r="U75" s="1661"/>
      <c r="V75" s="1661"/>
      <c r="W75" s="1661"/>
      <c r="X75" s="1661"/>
      <c r="Y75" s="1661"/>
      <c r="Z75" s="1661"/>
      <c r="AA75" s="1661"/>
      <c r="AB75" s="1661"/>
      <c r="AC75" s="1661"/>
      <c r="AD75" s="1661"/>
      <c r="AE75" s="1661"/>
      <c r="AF75" s="1661"/>
      <c r="AG75" s="1661"/>
      <c r="AH75" s="1661"/>
      <c r="AI75" s="1661"/>
      <c r="AJ75" s="1661"/>
      <c r="AK75" s="1661"/>
      <c r="AL75" s="1661"/>
      <c r="AM75" s="1661"/>
      <c r="AN75" s="1661"/>
      <c r="AO75" s="1661"/>
      <c r="AP75" s="1661"/>
      <c r="AQ75" s="1661"/>
      <c r="AR75" s="1661"/>
      <c r="AS75" s="1661"/>
      <c r="AT75" s="1661"/>
      <c r="AU75" s="17"/>
      <c r="AV75" s="17"/>
      <c r="AW75" s="17"/>
      <c r="AX75" s="17"/>
      <c r="AY75" s="17"/>
      <c r="AZ75" s="17"/>
      <c r="BD75" s="1070" t="s">
        <v>754</v>
      </c>
      <c r="BE75" s="1072">
        <f>'Points System'!AF830</f>
        <v>10</v>
      </c>
    </row>
    <row r="76" spans="1:57" ht="12.95" customHeight="1">
      <c r="A76" s="1661"/>
      <c r="B76" s="1661"/>
      <c r="C76" s="1661"/>
      <c r="D76" s="1661"/>
      <c r="E76" s="1661"/>
      <c r="F76" s="1661"/>
      <c r="G76" s="1661"/>
      <c r="H76" s="1661"/>
      <c r="I76" s="1661"/>
      <c r="J76" s="1661"/>
      <c r="K76" s="1661"/>
      <c r="L76" s="1661"/>
      <c r="M76" s="1661"/>
      <c r="N76" s="1661"/>
      <c r="O76" s="1661"/>
      <c r="P76" s="1661"/>
      <c r="Q76" s="1661"/>
      <c r="R76" s="1661"/>
      <c r="S76" s="1661"/>
      <c r="T76" s="1661"/>
      <c r="U76" s="1661"/>
      <c r="V76" s="1661"/>
      <c r="W76" s="1661"/>
      <c r="X76" s="1661"/>
      <c r="Y76" s="1661"/>
      <c r="Z76" s="1661"/>
      <c r="AA76" s="1661"/>
      <c r="AB76" s="1661"/>
      <c r="AC76" s="1661"/>
      <c r="AD76" s="1661"/>
      <c r="AE76" s="1661"/>
      <c r="AF76" s="1661"/>
      <c r="AG76" s="1661"/>
      <c r="AH76" s="1661"/>
      <c r="AI76" s="1661"/>
      <c r="AJ76" s="1661"/>
      <c r="AK76" s="1661"/>
      <c r="AL76" s="1661"/>
      <c r="AM76" s="1661"/>
      <c r="AN76" s="1661"/>
      <c r="AO76" s="1661"/>
      <c r="AP76" s="1661"/>
      <c r="AQ76" s="1661"/>
      <c r="AR76" s="1661"/>
      <c r="AS76" s="1661"/>
      <c r="AT76" s="1661"/>
      <c r="AU76" s="17"/>
      <c r="AV76" s="17"/>
      <c r="AW76" s="17"/>
      <c r="AX76" s="17"/>
      <c r="AY76" s="17"/>
      <c r="AZ76" s="15"/>
      <c r="BD76" s="1071" t="s">
        <v>755</v>
      </c>
      <c r="BE76" s="1072">
        <f>'Points System'!AF833</f>
        <v>10</v>
      </c>
    </row>
    <row r="77" spans="1:57" ht="12.95" customHeight="1">
      <c r="A77" s="1661"/>
      <c r="B77" s="1661"/>
      <c r="C77" s="1661"/>
      <c r="D77" s="1661"/>
      <c r="E77" s="1661"/>
      <c r="F77" s="1661"/>
      <c r="G77" s="1661"/>
      <c r="H77" s="1661"/>
      <c r="I77" s="1661"/>
      <c r="J77" s="1661"/>
      <c r="K77" s="1661"/>
      <c r="L77" s="1661"/>
      <c r="M77" s="1661"/>
      <c r="N77" s="1661"/>
      <c r="O77" s="1661"/>
      <c r="P77" s="1661"/>
      <c r="Q77" s="1661"/>
      <c r="R77" s="1661"/>
      <c r="S77" s="1661"/>
      <c r="T77" s="1661"/>
      <c r="U77" s="1661"/>
      <c r="V77" s="1661"/>
      <c r="W77" s="1661"/>
      <c r="X77" s="1661"/>
      <c r="Y77" s="1661"/>
      <c r="Z77" s="1661"/>
      <c r="AA77" s="1661"/>
      <c r="AB77" s="1661"/>
      <c r="AC77" s="1661"/>
      <c r="AD77" s="1661"/>
      <c r="AE77" s="1661"/>
      <c r="AF77" s="1661"/>
      <c r="AG77" s="1661"/>
      <c r="AH77" s="1661"/>
      <c r="AI77" s="1661"/>
      <c r="AJ77" s="1661"/>
      <c r="AK77" s="1661"/>
      <c r="AL77" s="1661"/>
      <c r="AM77" s="1661"/>
      <c r="AN77" s="1661"/>
      <c r="AO77" s="1661"/>
      <c r="AP77" s="1661"/>
      <c r="AQ77" s="1661"/>
      <c r="AR77" s="1661"/>
      <c r="AS77" s="1661"/>
      <c r="AT77" s="1661"/>
      <c r="AU77" s="17"/>
      <c r="AV77" s="17"/>
      <c r="AW77" s="17"/>
      <c r="AX77" s="17"/>
      <c r="AY77" s="17"/>
      <c r="AZ77" s="15"/>
      <c r="BD77" s="1070" t="s">
        <v>756</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757</v>
      </c>
      <c r="BE78" s="1072">
        <f>'Points System'!AF836</f>
        <v>10</v>
      </c>
    </row>
    <row r="79" spans="1:57" ht="12.95" customHeight="1">
      <c r="A79" s="1404" t="s">
        <v>758</v>
      </c>
      <c r="B79" s="1404"/>
      <c r="C79" s="1404"/>
      <c r="D79" s="1404"/>
      <c r="E79" s="1404"/>
      <c r="F79" s="1404"/>
      <c r="G79" s="1404"/>
      <c r="H79" s="1404"/>
      <c r="I79" s="1404"/>
      <c r="J79" s="1404"/>
      <c r="K79" s="1404"/>
      <c r="L79" s="1404"/>
      <c r="M79" s="1404"/>
      <c r="N79" s="1404"/>
      <c r="O79" s="1404"/>
      <c r="P79" s="1404"/>
      <c r="Q79" s="1404"/>
      <c r="R79" s="1404"/>
      <c r="S79" s="1404"/>
      <c r="T79" s="1404"/>
      <c r="U79" s="1404"/>
      <c r="V79" s="1404"/>
      <c r="W79" s="1404"/>
      <c r="X79" s="1404"/>
      <c r="Y79" s="1404"/>
      <c r="Z79" s="1404"/>
      <c r="AA79" s="1404"/>
      <c r="AB79" s="1404"/>
      <c r="AC79" s="1404"/>
      <c r="AD79" s="1404"/>
      <c r="AE79" s="1404"/>
      <c r="AF79" s="1404"/>
      <c r="AG79" s="1404"/>
      <c r="AH79" s="1404"/>
      <c r="AI79" s="1404"/>
      <c r="AJ79" s="1404"/>
      <c r="AK79" s="1404"/>
      <c r="AL79" s="1404"/>
      <c r="AM79" s="1404"/>
      <c r="AN79" s="1404"/>
      <c r="AO79" s="1404"/>
      <c r="AP79" s="1404"/>
      <c r="AQ79" s="1404"/>
      <c r="AR79" s="1404"/>
      <c r="AS79" s="1404"/>
      <c r="AT79" s="1404"/>
      <c r="AU79" s="17"/>
      <c r="AV79" s="17"/>
      <c r="AW79" s="17"/>
      <c r="AX79" s="17"/>
      <c r="AY79" s="17"/>
      <c r="AZ79" s="17"/>
      <c r="BD79" s="1070" t="s">
        <v>759</v>
      </c>
      <c r="BE79" s="1072">
        <f>'Points System'!AF837</f>
        <v>9</v>
      </c>
    </row>
    <row r="80" spans="1:57" ht="12.95" customHeight="1">
      <c r="A80" s="1404"/>
      <c r="B80" s="1404"/>
      <c r="C80" s="1404"/>
      <c r="D80" s="1404"/>
      <c r="E80" s="1404"/>
      <c r="F80" s="1404"/>
      <c r="G80" s="1404"/>
      <c r="H80" s="1404"/>
      <c r="I80" s="1404"/>
      <c r="J80" s="1404"/>
      <c r="K80" s="1404"/>
      <c r="L80" s="1404"/>
      <c r="M80" s="1404"/>
      <c r="N80" s="1404"/>
      <c r="O80" s="1404"/>
      <c r="P80" s="1404"/>
      <c r="Q80" s="1404"/>
      <c r="R80" s="1404"/>
      <c r="S80" s="1404"/>
      <c r="T80" s="1404"/>
      <c r="U80" s="1404"/>
      <c r="V80" s="1404"/>
      <c r="W80" s="1404"/>
      <c r="X80" s="1404"/>
      <c r="Y80" s="1404"/>
      <c r="Z80" s="1404"/>
      <c r="AA80" s="1404"/>
      <c r="AB80" s="1404"/>
      <c r="AC80" s="1404"/>
      <c r="AD80" s="1404"/>
      <c r="AE80" s="1404"/>
      <c r="AF80" s="1404"/>
      <c r="AG80" s="1404"/>
      <c r="AH80" s="1404"/>
      <c r="AI80" s="1404"/>
      <c r="AJ80" s="1404"/>
      <c r="AK80" s="1404"/>
      <c r="AL80" s="1404"/>
      <c r="AM80" s="1404"/>
      <c r="AN80" s="1404"/>
      <c r="AO80" s="1404"/>
      <c r="AP80" s="1404"/>
      <c r="AQ80" s="1404"/>
      <c r="AR80" s="1404"/>
      <c r="AS80" s="1404"/>
      <c r="AT80" s="1404"/>
      <c r="AU80" s="17"/>
      <c r="AV80" s="17"/>
      <c r="AW80" s="17"/>
      <c r="AX80" s="17"/>
      <c r="AY80" s="17"/>
      <c r="AZ80" s="17"/>
      <c r="BD80" s="1071" t="s">
        <v>760</v>
      </c>
      <c r="BE80" s="1072">
        <f>'Points System'!AF839</f>
        <v>10</v>
      </c>
    </row>
    <row r="81" spans="1:57" ht="12.95" customHeight="1">
      <c r="A81" s="1404"/>
      <c r="B81" s="1404"/>
      <c r="C81" s="1404"/>
      <c r="D81" s="1404"/>
      <c r="E81" s="1404"/>
      <c r="F81" s="1404"/>
      <c r="G81" s="1404"/>
      <c r="H81" s="1404"/>
      <c r="I81" s="1404"/>
      <c r="J81" s="1404"/>
      <c r="K81" s="1404"/>
      <c r="L81" s="1404"/>
      <c r="M81" s="1404"/>
      <c r="N81" s="1404"/>
      <c r="O81" s="1404"/>
      <c r="P81" s="1404"/>
      <c r="Q81" s="1404"/>
      <c r="R81" s="1404"/>
      <c r="S81" s="1404"/>
      <c r="T81" s="1404"/>
      <c r="U81" s="1404"/>
      <c r="V81" s="1404"/>
      <c r="W81" s="1404"/>
      <c r="X81" s="1404"/>
      <c r="Y81" s="1404"/>
      <c r="Z81" s="1404"/>
      <c r="AA81" s="1404"/>
      <c r="AB81" s="1404"/>
      <c r="AC81" s="1404"/>
      <c r="AD81" s="1404"/>
      <c r="AE81" s="1404"/>
      <c r="AF81" s="1404"/>
      <c r="AG81" s="1404"/>
      <c r="AH81" s="1404"/>
      <c r="AI81" s="1404"/>
      <c r="AJ81" s="1404"/>
      <c r="AK81" s="1404"/>
      <c r="AL81" s="1404"/>
      <c r="AM81" s="1404"/>
      <c r="AN81" s="1404"/>
      <c r="AO81" s="1404"/>
      <c r="AP81" s="1404"/>
      <c r="AQ81" s="1404"/>
      <c r="AR81" s="1404"/>
      <c r="AS81" s="1404"/>
      <c r="AT81" s="1404"/>
      <c r="AU81" s="17"/>
      <c r="AV81" s="17"/>
      <c r="AW81" s="17"/>
      <c r="AX81" s="17"/>
      <c r="AY81" s="17"/>
      <c r="AZ81" s="17"/>
      <c r="BD81" s="1070" t="s">
        <v>761</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762</v>
      </c>
      <c r="BE82" s="1072">
        <f>'Points System'!AF841</f>
        <v>10</v>
      </c>
    </row>
    <row r="83" spans="1:57" ht="12.95" customHeight="1">
      <c r="A83" s="1404" t="s">
        <v>763</v>
      </c>
      <c r="B83" s="1404"/>
      <c r="C83" s="1404"/>
      <c r="D83" s="1404"/>
      <c r="E83" s="1404"/>
      <c r="F83" s="1404"/>
      <c r="G83" s="1404"/>
      <c r="H83" s="1404"/>
      <c r="I83" s="1404"/>
      <c r="J83" s="1404"/>
      <c r="K83" s="1404"/>
      <c r="L83" s="1404"/>
      <c r="M83" s="1404"/>
      <c r="N83" s="1404"/>
      <c r="O83" s="1404"/>
      <c r="P83" s="1404"/>
      <c r="Q83" s="1404"/>
      <c r="R83" s="1404"/>
      <c r="S83" s="1404"/>
      <c r="T83" s="1404"/>
      <c r="U83" s="1404"/>
      <c r="V83" s="1404"/>
      <c r="W83" s="1404"/>
      <c r="X83" s="1404"/>
      <c r="Y83" s="1404"/>
      <c r="Z83" s="1404"/>
      <c r="AA83" s="1404"/>
      <c r="AB83" s="1404"/>
      <c r="AC83" s="1404"/>
      <c r="AD83" s="1404"/>
      <c r="AE83" s="1404"/>
      <c r="AF83" s="1404"/>
      <c r="AG83" s="1404"/>
      <c r="AH83" s="1404"/>
      <c r="AI83" s="1404"/>
      <c r="AJ83" s="1404"/>
      <c r="AK83" s="1404"/>
      <c r="AL83" s="1404"/>
      <c r="AM83" s="1404"/>
      <c r="AN83" s="1404"/>
      <c r="AO83" s="1404"/>
      <c r="AP83" s="1404"/>
      <c r="AQ83" s="1404"/>
      <c r="AR83" s="1404"/>
      <c r="AS83" s="1404"/>
      <c r="AT83" s="1404"/>
      <c r="AU83" s="17"/>
      <c r="AV83" s="17"/>
      <c r="AW83" s="17"/>
      <c r="AX83" s="17"/>
      <c r="AY83" s="17"/>
      <c r="AZ83" s="17"/>
      <c r="BD83" s="1070" t="s">
        <v>764</v>
      </c>
      <c r="BE83" s="1076">
        <f>'Tie Breaker'!H5</f>
        <v>1.4262264914464968</v>
      </c>
    </row>
    <row r="84" spans="1:57" ht="12.95" customHeight="1">
      <c r="A84" s="1404"/>
      <c r="B84" s="1404"/>
      <c r="C84" s="1404"/>
      <c r="D84" s="1404"/>
      <c r="E84" s="1404"/>
      <c r="F84" s="1404"/>
      <c r="G84" s="1404"/>
      <c r="H84" s="1404"/>
      <c r="I84" s="1404"/>
      <c r="J84" s="1404"/>
      <c r="K84" s="1404"/>
      <c r="L84" s="1404"/>
      <c r="M84" s="1404"/>
      <c r="N84" s="1404"/>
      <c r="O84" s="1404"/>
      <c r="P84" s="1404"/>
      <c r="Q84" s="1404"/>
      <c r="R84" s="1404"/>
      <c r="S84" s="1404"/>
      <c r="T84" s="1404"/>
      <c r="U84" s="1404"/>
      <c r="V84" s="1404"/>
      <c r="W84" s="1404"/>
      <c r="X84" s="1404"/>
      <c r="Y84" s="1404"/>
      <c r="Z84" s="1404"/>
      <c r="AA84" s="1404"/>
      <c r="AB84" s="1404"/>
      <c r="AC84" s="1404"/>
      <c r="AD84" s="1404"/>
      <c r="AE84" s="1404"/>
      <c r="AF84" s="1404"/>
      <c r="AG84" s="1404"/>
      <c r="AH84" s="1404"/>
      <c r="AI84" s="1404"/>
      <c r="AJ84" s="1404"/>
      <c r="AK84" s="1404"/>
      <c r="AL84" s="1404"/>
      <c r="AM84" s="1404"/>
      <c r="AN84" s="1404"/>
      <c r="AO84" s="1404"/>
      <c r="AP84" s="1404"/>
      <c r="AQ84" s="1404"/>
      <c r="AR84" s="1404"/>
      <c r="AS84" s="1404"/>
      <c r="AT84" s="1404"/>
      <c r="AU84" s="17"/>
      <c r="AV84" s="17"/>
      <c r="AW84" s="17"/>
      <c r="AX84" s="17"/>
      <c r="AY84" s="17"/>
      <c r="AZ84" s="17"/>
      <c r="BD84" s="1071" t="s">
        <v>765</v>
      </c>
      <c r="BE84" s="1072" t="str">
        <f>Application!O153</f>
        <v>City of Greenfield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766</v>
      </c>
      <c r="BE85" s="1072" t="str">
        <f>Application!O154</f>
        <v>Paul Wood</v>
      </c>
    </row>
    <row r="86" spans="1:57" ht="12.95" customHeight="1">
      <c r="A86" s="1404" t="s">
        <v>767</v>
      </c>
      <c r="B86" s="1404"/>
      <c r="C86" s="1404"/>
      <c r="D86" s="1404"/>
      <c r="E86" s="1404"/>
      <c r="F86" s="1404"/>
      <c r="G86" s="1404"/>
      <c r="H86" s="1404"/>
      <c r="I86" s="1404"/>
      <c r="J86" s="1404"/>
      <c r="K86" s="1404"/>
      <c r="L86" s="1404"/>
      <c r="M86" s="1404"/>
      <c r="N86" s="1404"/>
      <c r="O86" s="1404"/>
      <c r="P86" s="1404"/>
      <c r="Q86" s="1404"/>
      <c r="R86" s="1404"/>
      <c r="S86" s="1404"/>
      <c r="T86" s="1404"/>
      <c r="U86" s="1404"/>
      <c r="V86" s="1404"/>
      <c r="W86" s="1404"/>
      <c r="X86" s="1404"/>
      <c r="Y86" s="1404"/>
      <c r="Z86" s="1404"/>
      <c r="AA86" s="1404"/>
      <c r="AB86" s="1404"/>
      <c r="AC86" s="1404"/>
      <c r="AD86" s="1404"/>
      <c r="AE86" s="1404"/>
      <c r="AF86" s="1404"/>
      <c r="AG86" s="1404"/>
      <c r="AH86" s="1404"/>
      <c r="AI86" s="1404"/>
      <c r="AJ86" s="1404"/>
      <c r="AK86" s="1404"/>
      <c r="AL86" s="1404"/>
      <c r="AM86" s="1404"/>
      <c r="AN86" s="1404"/>
      <c r="AO86" s="1404"/>
      <c r="AP86" s="1404"/>
      <c r="AQ86" s="1404"/>
      <c r="AR86" s="1404"/>
      <c r="AS86" s="1404"/>
      <c r="AT86" s="1404"/>
      <c r="AU86" s="17"/>
      <c r="AV86" s="17"/>
      <c r="AW86" s="17"/>
      <c r="AX86" s="17"/>
      <c r="AY86" s="17"/>
      <c r="AZ86" s="17"/>
      <c r="BD86" s="1071" t="s">
        <v>768</v>
      </c>
      <c r="BE86" s="1072" t="str">
        <f>Application!O155</f>
        <v>City Manager</v>
      </c>
    </row>
    <row r="87" spans="1:57" ht="12.95" customHeight="1">
      <c r="A87" s="1404"/>
      <c r="B87" s="1404"/>
      <c r="C87" s="1404"/>
      <c r="D87" s="1404"/>
      <c r="E87" s="1404"/>
      <c r="F87" s="1404"/>
      <c r="G87" s="1404"/>
      <c r="H87" s="1404"/>
      <c r="I87" s="1404"/>
      <c r="J87" s="1404"/>
      <c r="K87" s="1404"/>
      <c r="L87" s="1404"/>
      <c r="M87" s="1404"/>
      <c r="N87" s="1404"/>
      <c r="O87" s="1404"/>
      <c r="P87" s="1404"/>
      <c r="Q87" s="1404"/>
      <c r="R87" s="1404"/>
      <c r="S87" s="1404"/>
      <c r="T87" s="1404"/>
      <c r="U87" s="1404"/>
      <c r="V87" s="1404"/>
      <c r="W87" s="1404"/>
      <c r="X87" s="1404"/>
      <c r="Y87" s="1404"/>
      <c r="Z87" s="1404"/>
      <c r="AA87" s="1404"/>
      <c r="AB87" s="1404"/>
      <c r="AC87" s="1404"/>
      <c r="AD87" s="1404"/>
      <c r="AE87" s="1404"/>
      <c r="AF87" s="1404"/>
      <c r="AG87" s="1404"/>
      <c r="AH87" s="1404"/>
      <c r="AI87" s="1404"/>
      <c r="AJ87" s="1404"/>
      <c r="AK87" s="1404"/>
      <c r="AL87" s="1404"/>
      <c r="AM87" s="1404"/>
      <c r="AN87" s="1404"/>
      <c r="AO87" s="1404"/>
      <c r="AP87" s="1404"/>
      <c r="AQ87" s="1404"/>
      <c r="AR87" s="1404"/>
      <c r="AS87" s="1404"/>
      <c r="AT87" s="1404"/>
      <c r="AU87" s="17"/>
      <c r="AV87" s="17"/>
      <c r="AW87" s="17"/>
      <c r="AX87" s="17"/>
      <c r="AY87" s="17"/>
      <c r="AZ87" s="17"/>
      <c r="BD87" s="1070" t="s">
        <v>769</v>
      </c>
      <c r="BE87" s="1072" t="str">
        <f>Application!O156</f>
        <v>599 El Camino Real, P.O. Box 127</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770</v>
      </c>
      <c r="BE88" s="1072" t="str">
        <f>Application!O157</f>
        <v xml:space="preserve">Greenfield </v>
      </c>
    </row>
    <row r="89" spans="1:57" ht="12.95" customHeight="1">
      <c r="A89" s="1660" t="s">
        <v>771</v>
      </c>
      <c r="B89" s="1660"/>
      <c r="C89" s="1660"/>
      <c r="D89" s="1660"/>
      <c r="E89" s="1660"/>
      <c r="F89" s="1660"/>
      <c r="G89" s="1660"/>
      <c r="H89" s="1660"/>
      <c r="I89" s="1660"/>
      <c r="J89" s="1660"/>
      <c r="K89" s="1660"/>
      <c r="L89" s="1660"/>
      <c r="M89" s="1660"/>
      <c r="N89" s="1660"/>
      <c r="O89" s="1660"/>
      <c r="P89" s="1660"/>
      <c r="Q89" s="1660"/>
      <c r="R89" s="1660"/>
      <c r="S89" s="1660"/>
      <c r="T89" s="1660"/>
      <c r="U89" s="1660"/>
      <c r="V89" s="1660"/>
      <c r="W89" s="1660"/>
      <c r="X89" s="1660"/>
      <c r="Y89" s="1660"/>
      <c r="Z89" s="1660"/>
      <c r="AA89" s="1660"/>
      <c r="AB89" s="1660"/>
      <c r="AC89" s="1660"/>
      <c r="AD89" s="1660"/>
      <c r="AE89" s="1660"/>
      <c r="AF89" s="1660"/>
      <c r="AG89" s="1660"/>
      <c r="AH89" s="1660"/>
      <c r="AI89" s="1660"/>
      <c r="AJ89" s="1660"/>
      <c r="AK89" s="1660"/>
      <c r="AL89" s="1660"/>
      <c r="AM89" s="1660"/>
      <c r="AN89" s="1660"/>
      <c r="AO89" s="1660"/>
      <c r="AP89" s="1660"/>
      <c r="AQ89" s="1660"/>
      <c r="AR89" s="1660"/>
      <c r="AS89" s="1660"/>
      <c r="AT89" s="1660"/>
      <c r="AU89" s="15"/>
      <c r="AV89" s="15"/>
      <c r="AW89" s="15"/>
      <c r="AX89" s="15"/>
      <c r="AY89" s="15"/>
      <c r="AZ89" s="17"/>
      <c r="BD89" s="1070" t="s">
        <v>772</v>
      </c>
      <c r="BE89" s="1072">
        <f>Application!O158</f>
        <v>93927</v>
      </c>
    </row>
    <row r="90" spans="1:57" ht="12.95" customHeight="1">
      <c r="A90" s="1660"/>
      <c r="B90" s="1660"/>
      <c r="C90" s="1660"/>
      <c r="D90" s="1660"/>
      <c r="E90" s="1660"/>
      <c r="F90" s="1660"/>
      <c r="G90" s="1660"/>
      <c r="H90" s="1660"/>
      <c r="I90" s="1660"/>
      <c r="J90" s="1660"/>
      <c r="K90" s="1660"/>
      <c r="L90" s="1660"/>
      <c r="M90" s="1660"/>
      <c r="N90" s="1660"/>
      <c r="O90" s="1660"/>
      <c r="P90" s="1660"/>
      <c r="Q90" s="1660"/>
      <c r="R90" s="1660"/>
      <c r="S90" s="1660"/>
      <c r="T90" s="1660"/>
      <c r="U90" s="1660"/>
      <c r="V90" s="1660"/>
      <c r="W90" s="1660"/>
      <c r="X90" s="1660"/>
      <c r="Y90" s="1660"/>
      <c r="Z90" s="1660"/>
      <c r="AA90" s="1660"/>
      <c r="AB90" s="1660"/>
      <c r="AC90" s="1660"/>
      <c r="AD90" s="1660"/>
      <c r="AE90" s="1660"/>
      <c r="AF90" s="1660"/>
      <c r="AG90" s="1660"/>
      <c r="AH90" s="1660"/>
      <c r="AI90" s="1660"/>
      <c r="AJ90" s="1660"/>
      <c r="AK90" s="1660"/>
      <c r="AL90" s="1660"/>
      <c r="AM90" s="1660"/>
      <c r="AN90" s="1660"/>
      <c r="AO90" s="1660"/>
      <c r="AP90" s="1660"/>
      <c r="AQ90" s="1660"/>
      <c r="AR90" s="1660"/>
      <c r="AS90" s="1660"/>
      <c r="AT90" s="1660"/>
      <c r="AU90" s="15"/>
      <c r="AV90" s="15"/>
      <c r="AW90" s="15"/>
      <c r="AX90" s="15"/>
      <c r="AY90" s="15"/>
      <c r="AZ90" s="17"/>
      <c r="BD90" s="1071" t="s">
        <v>773</v>
      </c>
      <c r="BE90" s="1072" t="str">
        <f>Application!H16</f>
        <v>Greenfield EAH II,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774</v>
      </c>
      <c r="BE91" s="1072" t="str">
        <f>Application!M242</f>
        <v>22 Pelican Way</v>
      </c>
    </row>
    <row r="92" spans="1:57" ht="12.95" customHeight="1">
      <c r="A92" s="1661" t="s">
        <v>775</v>
      </c>
      <c r="B92" s="1661"/>
      <c r="C92" s="1661"/>
      <c r="D92" s="1661"/>
      <c r="E92" s="1661"/>
      <c r="F92" s="1661"/>
      <c r="G92" s="1661"/>
      <c r="H92" s="1661"/>
      <c r="I92" s="1661"/>
      <c r="J92" s="1661"/>
      <c r="K92" s="1661"/>
      <c r="L92" s="1661"/>
      <c r="M92" s="1661"/>
      <c r="N92" s="1661"/>
      <c r="O92" s="1661"/>
      <c r="P92" s="1661"/>
      <c r="Q92" s="1661"/>
      <c r="R92" s="1661"/>
      <c r="S92" s="1661"/>
      <c r="T92" s="1661"/>
      <c r="U92" s="1661"/>
      <c r="V92" s="1661"/>
      <c r="W92" s="1661"/>
      <c r="X92" s="1661"/>
      <c r="Y92" s="1661"/>
      <c r="Z92" s="1661"/>
      <c r="AA92" s="1661"/>
      <c r="AB92" s="1661"/>
      <c r="AC92" s="1661"/>
      <c r="AD92" s="1661"/>
      <c r="AE92" s="1661"/>
      <c r="AF92" s="1661"/>
      <c r="AG92" s="1661"/>
      <c r="AH92" s="1661"/>
      <c r="AI92" s="1661"/>
      <c r="AJ92" s="1661"/>
      <c r="AK92" s="1661"/>
      <c r="AL92" s="1661"/>
      <c r="AM92" s="1661"/>
      <c r="AN92" s="1661"/>
      <c r="AO92" s="1661"/>
      <c r="AP92" s="1661"/>
      <c r="AQ92" s="1661"/>
      <c r="AR92" s="1661"/>
      <c r="AS92" s="1661"/>
      <c r="AT92" s="1661"/>
      <c r="AU92" s="17"/>
      <c r="AV92" s="17"/>
      <c r="AW92" s="17"/>
      <c r="AX92" s="17"/>
      <c r="AY92" s="17"/>
      <c r="AZ92" s="17"/>
      <c r="BD92" s="1071" t="s">
        <v>776</v>
      </c>
      <c r="BE92" s="1072" t="str">
        <f>Application!M243</f>
        <v>San Rafael</v>
      </c>
    </row>
    <row r="93" spans="1:57" ht="12.95" customHeight="1">
      <c r="A93" s="1661"/>
      <c r="B93" s="1661"/>
      <c r="C93" s="1661"/>
      <c r="D93" s="1661"/>
      <c r="E93" s="1661"/>
      <c r="F93" s="1661"/>
      <c r="G93" s="1661"/>
      <c r="H93" s="1661"/>
      <c r="I93" s="1661"/>
      <c r="J93" s="1661"/>
      <c r="K93" s="1661"/>
      <c r="L93" s="1661"/>
      <c r="M93" s="1661"/>
      <c r="N93" s="1661"/>
      <c r="O93" s="1661"/>
      <c r="P93" s="1661"/>
      <c r="Q93" s="1661"/>
      <c r="R93" s="1661"/>
      <c r="S93" s="1661"/>
      <c r="T93" s="1661"/>
      <c r="U93" s="1661"/>
      <c r="V93" s="1661"/>
      <c r="W93" s="1661"/>
      <c r="X93" s="1661"/>
      <c r="Y93" s="1661"/>
      <c r="Z93" s="1661"/>
      <c r="AA93" s="1661"/>
      <c r="AB93" s="1661"/>
      <c r="AC93" s="1661"/>
      <c r="AD93" s="1661"/>
      <c r="AE93" s="1661"/>
      <c r="AF93" s="1661"/>
      <c r="AG93" s="1661"/>
      <c r="AH93" s="1661"/>
      <c r="AI93" s="1661"/>
      <c r="AJ93" s="1661"/>
      <c r="AK93" s="1661"/>
      <c r="AL93" s="1661"/>
      <c r="AM93" s="1661"/>
      <c r="AN93" s="1661"/>
      <c r="AO93" s="1661"/>
      <c r="AP93" s="1661"/>
      <c r="AQ93" s="1661"/>
      <c r="AR93" s="1661"/>
      <c r="AS93" s="1661"/>
      <c r="AT93" s="1661"/>
      <c r="AU93" s="17"/>
      <c r="AV93" s="17"/>
      <c r="AW93" s="17"/>
      <c r="AX93" s="17"/>
      <c r="AY93" s="17"/>
      <c r="AZ93" s="17"/>
      <c r="BD93" s="1070" t="s">
        <v>777</v>
      </c>
      <c r="BE93" s="1072" t="str">
        <f>Application!W243</f>
        <v>CA</v>
      </c>
    </row>
    <row r="94" spans="1:57" ht="12.95" customHeight="1">
      <c r="A94" s="1661"/>
      <c r="B94" s="1661"/>
      <c r="C94" s="1661"/>
      <c r="D94" s="1661"/>
      <c r="E94" s="1661"/>
      <c r="F94" s="1661"/>
      <c r="G94" s="1661"/>
      <c r="H94" s="1661"/>
      <c r="I94" s="1661"/>
      <c r="J94" s="1661"/>
      <c r="K94" s="1661"/>
      <c r="L94" s="1661"/>
      <c r="M94" s="1661"/>
      <c r="N94" s="1661"/>
      <c r="O94" s="1661"/>
      <c r="P94" s="1661"/>
      <c r="Q94" s="1661"/>
      <c r="R94" s="1661"/>
      <c r="S94" s="1661"/>
      <c r="T94" s="1661"/>
      <c r="U94" s="1661"/>
      <c r="V94" s="1661"/>
      <c r="W94" s="1661"/>
      <c r="X94" s="1661"/>
      <c r="Y94" s="1661"/>
      <c r="Z94" s="1661"/>
      <c r="AA94" s="1661"/>
      <c r="AB94" s="1661"/>
      <c r="AC94" s="1661"/>
      <c r="AD94" s="1661"/>
      <c r="AE94" s="1661"/>
      <c r="AF94" s="1661"/>
      <c r="AG94" s="1661"/>
      <c r="AH94" s="1661"/>
      <c r="AI94" s="1661"/>
      <c r="AJ94" s="1661"/>
      <c r="AK94" s="1661"/>
      <c r="AL94" s="1661"/>
      <c r="AM94" s="1661"/>
      <c r="AN94" s="1661"/>
      <c r="AO94" s="1661"/>
      <c r="AP94" s="1661"/>
      <c r="AQ94" s="1661"/>
      <c r="AR94" s="1661"/>
      <c r="AS94" s="1661"/>
      <c r="AT94" s="1661"/>
      <c r="AU94" s="17"/>
      <c r="AV94" s="17"/>
      <c r="AW94" s="17"/>
      <c r="AX94" s="17"/>
      <c r="AY94" s="17"/>
      <c r="AZ94" s="17"/>
      <c r="BD94" s="1071" t="s">
        <v>778</v>
      </c>
      <c r="BE94" s="1072">
        <f>Application!AC243</f>
        <v>94901</v>
      </c>
    </row>
    <row r="95" spans="1:57" ht="12.95" customHeight="1">
      <c r="A95" s="1661"/>
      <c r="B95" s="1661"/>
      <c r="C95" s="1661"/>
      <c r="D95" s="1661"/>
      <c r="E95" s="1661"/>
      <c r="F95" s="1661"/>
      <c r="G95" s="1661"/>
      <c r="H95" s="1661"/>
      <c r="I95" s="1661"/>
      <c r="J95" s="1661"/>
      <c r="K95" s="1661"/>
      <c r="L95" s="1661"/>
      <c r="M95" s="1661"/>
      <c r="N95" s="1661"/>
      <c r="O95" s="1661"/>
      <c r="P95" s="1661"/>
      <c r="Q95" s="1661"/>
      <c r="R95" s="1661"/>
      <c r="S95" s="1661"/>
      <c r="T95" s="1661"/>
      <c r="U95" s="1661"/>
      <c r="V95" s="1661"/>
      <c r="W95" s="1661"/>
      <c r="X95" s="1661"/>
      <c r="Y95" s="1661"/>
      <c r="Z95" s="1661"/>
      <c r="AA95" s="1661"/>
      <c r="AB95" s="1661"/>
      <c r="AC95" s="1661"/>
      <c r="AD95" s="1661"/>
      <c r="AE95" s="1661"/>
      <c r="AF95" s="1661"/>
      <c r="AG95" s="1661"/>
      <c r="AH95" s="1661"/>
      <c r="AI95" s="1661"/>
      <c r="AJ95" s="1661"/>
      <c r="AK95" s="1661"/>
      <c r="AL95" s="1661"/>
      <c r="AM95" s="1661"/>
      <c r="AN95" s="1661"/>
      <c r="AO95" s="1661"/>
      <c r="AP95" s="1661"/>
      <c r="AQ95" s="1661"/>
      <c r="AR95" s="1661"/>
      <c r="AS95" s="1661"/>
      <c r="AT95" s="1661"/>
      <c r="AU95" s="17"/>
      <c r="AV95" s="17"/>
      <c r="AW95" s="17"/>
      <c r="AX95" s="17"/>
      <c r="AY95" s="17"/>
      <c r="AZ95" s="17"/>
      <c r="BD95" s="1070" t="s">
        <v>779</v>
      </c>
      <c r="BE95" s="1072" t="str">
        <f>Application!M244</f>
        <v>Welton Jordan</v>
      </c>
    </row>
    <row r="96" spans="1:57" ht="12.95" customHeight="1">
      <c r="A96" s="1661"/>
      <c r="B96" s="1661"/>
      <c r="C96" s="1661"/>
      <c r="D96" s="1661"/>
      <c r="E96" s="1661"/>
      <c r="F96" s="1661"/>
      <c r="G96" s="1661"/>
      <c r="H96" s="1661"/>
      <c r="I96" s="1661"/>
      <c r="J96" s="1661"/>
      <c r="K96" s="1661"/>
      <c r="L96" s="1661"/>
      <c r="M96" s="1661"/>
      <c r="N96" s="1661"/>
      <c r="O96" s="1661"/>
      <c r="P96" s="1661"/>
      <c r="Q96" s="1661"/>
      <c r="R96" s="1661"/>
      <c r="S96" s="1661"/>
      <c r="T96" s="1661"/>
      <c r="U96" s="1661"/>
      <c r="V96" s="1661"/>
      <c r="W96" s="1661"/>
      <c r="X96" s="1661"/>
      <c r="Y96" s="1661"/>
      <c r="Z96" s="1661"/>
      <c r="AA96" s="1661"/>
      <c r="AB96" s="1661"/>
      <c r="AC96" s="1661"/>
      <c r="AD96" s="1661"/>
      <c r="AE96" s="1661"/>
      <c r="AF96" s="1661"/>
      <c r="AG96" s="1661"/>
      <c r="AH96" s="1661"/>
      <c r="AI96" s="1661"/>
      <c r="AJ96" s="1661"/>
      <c r="AK96" s="1661"/>
      <c r="AL96" s="1661"/>
      <c r="AM96" s="1661"/>
      <c r="AN96" s="1661"/>
      <c r="AO96" s="1661"/>
      <c r="AP96" s="1661"/>
      <c r="AQ96" s="1661"/>
      <c r="AR96" s="1661"/>
      <c r="AS96" s="1661"/>
      <c r="AT96" s="1661"/>
      <c r="AU96" s="17"/>
      <c r="AV96" s="17"/>
      <c r="AW96" s="17"/>
      <c r="AX96" s="17"/>
      <c r="AY96" s="17"/>
      <c r="AZ96" s="17"/>
      <c r="BD96" s="1071" t="s">
        <v>780</v>
      </c>
      <c r="BE96" s="1072" t="str">
        <f>Application!M246</f>
        <v>welton.jordan@eahhousing.org</v>
      </c>
    </row>
    <row r="97" spans="1:57" ht="12.95" customHeight="1">
      <c r="A97" s="1661"/>
      <c r="B97" s="1661"/>
      <c r="C97" s="1661"/>
      <c r="D97" s="1661"/>
      <c r="E97" s="1661"/>
      <c r="F97" s="1661"/>
      <c r="G97" s="1661"/>
      <c r="H97" s="1661"/>
      <c r="I97" s="1661"/>
      <c r="J97" s="1661"/>
      <c r="K97" s="1661"/>
      <c r="L97" s="1661"/>
      <c r="M97" s="1661"/>
      <c r="N97" s="1661"/>
      <c r="O97" s="1661"/>
      <c r="P97" s="1661"/>
      <c r="Q97" s="1661"/>
      <c r="R97" s="1661"/>
      <c r="S97" s="1661"/>
      <c r="T97" s="1661"/>
      <c r="U97" s="1661"/>
      <c r="V97" s="1661"/>
      <c r="W97" s="1661"/>
      <c r="X97" s="1661"/>
      <c r="Y97" s="1661"/>
      <c r="Z97" s="1661"/>
      <c r="AA97" s="1661"/>
      <c r="AB97" s="1661"/>
      <c r="AC97" s="1661"/>
      <c r="AD97" s="1661"/>
      <c r="AE97" s="1661"/>
      <c r="AF97" s="1661"/>
      <c r="AG97" s="1661"/>
      <c r="AH97" s="1661"/>
      <c r="AI97" s="1661"/>
      <c r="AJ97" s="1661"/>
      <c r="AK97" s="1661"/>
      <c r="AL97" s="1661"/>
      <c r="AM97" s="1661"/>
      <c r="AN97" s="1661"/>
      <c r="AO97" s="1661"/>
      <c r="AP97" s="1661"/>
      <c r="AQ97" s="1661"/>
      <c r="AR97" s="1661"/>
      <c r="AS97" s="1661"/>
      <c r="AT97" s="1661"/>
      <c r="AU97" s="17"/>
      <c r="AV97" s="17"/>
      <c r="AW97" s="17"/>
      <c r="AX97" s="17"/>
      <c r="AY97" s="17"/>
      <c r="AZ97" s="17"/>
      <c r="BD97" s="1070" t="s">
        <v>781</v>
      </c>
      <c r="BE97" s="1072" t="str">
        <f>Application!M257</f>
        <v>welton.jordan@eahhousing.org</v>
      </c>
    </row>
    <row r="98" spans="1:57" ht="12.95" customHeight="1">
      <c r="A98" s="1661"/>
      <c r="B98" s="1661"/>
      <c r="C98" s="1661"/>
      <c r="D98" s="1661"/>
      <c r="E98" s="1661"/>
      <c r="F98" s="1661"/>
      <c r="G98" s="1661"/>
      <c r="H98" s="1661"/>
      <c r="I98" s="1661"/>
      <c r="J98" s="1661"/>
      <c r="K98" s="1661"/>
      <c r="L98" s="1661"/>
      <c r="M98" s="1661"/>
      <c r="N98" s="1661"/>
      <c r="O98" s="1661"/>
      <c r="P98" s="1661"/>
      <c r="Q98" s="1661"/>
      <c r="R98" s="1661"/>
      <c r="S98" s="1661"/>
      <c r="T98" s="1661"/>
      <c r="U98" s="1661"/>
      <c r="V98" s="1661"/>
      <c r="W98" s="1661"/>
      <c r="X98" s="1661"/>
      <c r="Y98" s="1661"/>
      <c r="Z98" s="1661"/>
      <c r="AA98" s="1661"/>
      <c r="AB98" s="1661"/>
      <c r="AC98" s="1661"/>
      <c r="AD98" s="1661"/>
      <c r="AE98" s="1661"/>
      <c r="AF98" s="1661"/>
      <c r="AG98" s="1661"/>
      <c r="AH98" s="1661"/>
      <c r="AI98" s="1661"/>
      <c r="AJ98" s="1661"/>
      <c r="AK98" s="1661"/>
      <c r="AL98" s="1661"/>
      <c r="AM98" s="1661"/>
      <c r="AN98" s="1661"/>
      <c r="AO98" s="1661"/>
      <c r="AP98" s="1661"/>
      <c r="AQ98" s="1661"/>
      <c r="AR98" s="1661"/>
      <c r="AS98" s="1661"/>
      <c r="AT98" s="1661"/>
      <c r="AU98" s="17"/>
      <c r="AV98" s="17"/>
      <c r="AW98" s="17"/>
      <c r="AX98" s="17"/>
      <c r="AY98" s="17"/>
      <c r="AZ98" s="17"/>
      <c r="BD98" s="1071" t="s">
        <v>782</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783</v>
      </c>
      <c r="BE99" s="1072">
        <f>Application!M273</f>
        <v>0</v>
      </c>
    </row>
    <row r="100" spans="1:57" ht="12.95" customHeight="1">
      <c r="A100" s="1662" t="s">
        <v>784</v>
      </c>
      <c r="B100" s="1662"/>
      <c r="C100" s="1662"/>
      <c r="D100" s="1662"/>
      <c r="E100" s="1662"/>
      <c r="F100" s="1662"/>
      <c r="G100" s="1662"/>
      <c r="H100" s="1662"/>
      <c r="I100" s="1662"/>
      <c r="J100" s="1662"/>
      <c r="K100" s="1662"/>
      <c r="L100" s="1662"/>
      <c r="M100" s="1662"/>
      <c r="N100" s="1662"/>
      <c r="O100" s="1662"/>
      <c r="P100" s="1662"/>
      <c r="Q100" s="1662"/>
      <c r="R100" s="1662"/>
      <c r="S100" s="1662"/>
      <c r="T100" s="1662"/>
      <c r="U100" s="1662"/>
      <c r="V100" s="1662"/>
      <c r="W100" s="1662"/>
      <c r="X100" s="1662"/>
      <c r="Y100" s="1662"/>
      <c r="Z100" s="1662"/>
      <c r="AA100" s="1662"/>
      <c r="AB100" s="1662"/>
      <c r="AC100" s="1662"/>
      <c r="AD100" s="1662"/>
      <c r="AE100" s="1662"/>
      <c r="AF100" s="1662"/>
      <c r="AG100" s="1662"/>
      <c r="AH100" s="1662"/>
      <c r="AI100" s="1662"/>
      <c r="AJ100" s="1662"/>
      <c r="AK100" s="1662"/>
      <c r="AL100" s="1662"/>
      <c r="AM100" s="1662"/>
      <c r="AN100" s="1662"/>
      <c r="AO100" s="1662"/>
      <c r="AP100" s="1662"/>
      <c r="AQ100" s="1662"/>
      <c r="AR100" s="1662"/>
      <c r="AS100" s="1662"/>
      <c r="AT100" s="1662"/>
      <c r="AU100" s="17"/>
      <c r="AV100" s="17"/>
      <c r="AW100" s="17"/>
      <c r="AX100" s="17"/>
      <c r="AY100" s="17"/>
      <c r="AZ100" s="17"/>
      <c r="BD100" s="1071" t="s">
        <v>785</v>
      </c>
      <c r="BE100" s="1072" t="str">
        <f>Application!L288</f>
        <v>michael.schaier@eahhousing.org</v>
      </c>
    </row>
    <row r="101" spans="1:57" ht="12.95" customHeight="1">
      <c r="A101" s="1662"/>
      <c r="B101" s="1662"/>
      <c r="C101" s="1662"/>
      <c r="D101" s="1662"/>
      <c r="E101" s="1662"/>
      <c r="F101" s="1662"/>
      <c r="G101" s="1662"/>
      <c r="H101" s="1662"/>
      <c r="I101" s="1662"/>
      <c r="J101" s="1662"/>
      <c r="K101" s="1662"/>
      <c r="L101" s="1662"/>
      <c r="M101" s="1662"/>
      <c r="N101" s="1662"/>
      <c r="O101" s="1662"/>
      <c r="P101" s="1662"/>
      <c r="Q101" s="1662"/>
      <c r="R101" s="1662"/>
      <c r="S101" s="1662"/>
      <c r="T101" s="1662"/>
      <c r="U101" s="1662"/>
      <c r="V101" s="1662"/>
      <c r="W101" s="1662"/>
      <c r="X101" s="1662"/>
      <c r="Y101" s="1662"/>
      <c r="Z101" s="1662"/>
      <c r="AA101" s="1662"/>
      <c r="AB101" s="1662"/>
      <c r="AC101" s="1662"/>
      <c r="AD101" s="1662"/>
      <c r="AE101" s="1662"/>
      <c r="AF101" s="1662"/>
      <c r="AG101" s="1662"/>
      <c r="AH101" s="1662"/>
      <c r="AI101" s="1662"/>
      <c r="AJ101" s="1662"/>
      <c r="AK101" s="1662"/>
      <c r="AL101" s="1662"/>
      <c r="AM101" s="1662"/>
      <c r="AN101" s="1662"/>
      <c r="AO101" s="1662"/>
      <c r="AP101" s="1662"/>
      <c r="AQ101" s="1662"/>
      <c r="AR101" s="1662"/>
      <c r="AS101" s="1662"/>
      <c r="AT101" s="1662"/>
      <c r="AU101" s="17"/>
      <c r="AV101" s="17"/>
      <c r="AW101" s="17"/>
      <c r="AX101" s="17"/>
      <c r="AY101" s="17"/>
      <c r="AZ101" s="17"/>
      <c r="BD101" s="3" t="s">
        <v>786</v>
      </c>
      <c r="BE101">
        <f>'Sources and Uses Budget'!C105</f>
        <v>82176624</v>
      </c>
    </row>
    <row r="102" spans="1:57" ht="12.95" customHeight="1">
      <c r="A102" s="1662"/>
      <c r="B102" s="1662"/>
      <c r="C102" s="1662"/>
      <c r="D102" s="1662"/>
      <c r="E102" s="1662"/>
      <c r="F102" s="1662"/>
      <c r="G102" s="1662"/>
      <c r="H102" s="1662"/>
      <c r="I102" s="1662"/>
      <c r="J102" s="1662"/>
      <c r="K102" s="1662"/>
      <c r="L102" s="1662"/>
      <c r="M102" s="1662"/>
      <c r="N102" s="1662"/>
      <c r="O102" s="1662"/>
      <c r="P102" s="1662"/>
      <c r="Q102" s="1662"/>
      <c r="R102" s="1662"/>
      <c r="S102" s="1662"/>
      <c r="T102" s="1662"/>
      <c r="U102" s="1662"/>
      <c r="V102" s="1662"/>
      <c r="W102" s="1662"/>
      <c r="X102" s="1662"/>
      <c r="Y102" s="1662"/>
      <c r="Z102" s="1662"/>
      <c r="AA102" s="1662"/>
      <c r="AB102" s="1662"/>
      <c r="AC102" s="1662"/>
      <c r="AD102" s="1662"/>
      <c r="AE102" s="1662"/>
      <c r="AF102" s="1662"/>
      <c r="AG102" s="1662"/>
      <c r="AH102" s="1662"/>
      <c r="AI102" s="1662"/>
      <c r="AJ102" s="1662"/>
      <c r="AK102" s="1662"/>
      <c r="AL102" s="1662"/>
      <c r="AM102" s="1662"/>
      <c r="AN102" s="1662"/>
      <c r="AO102" s="1662"/>
      <c r="AP102" s="1662"/>
      <c r="AQ102" s="1662"/>
      <c r="AR102" s="1662"/>
      <c r="AS102" s="1662"/>
      <c r="AT102" s="1662"/>
      <c r="AU102" s="17"/>
      <c r="AV102" s="17"/>
      <c r="AW102" s="17"/>
      <c r="AX102" s="17"/>
      <c r="AY102" s="17"/>
      <c r="AZ102" s="17"/>
      <c r="BD102" s="3" t="s">
        <v>787</v>
      </c>
      <c r="BE102" t="b">
        <f>T197="Yes"</f>
        <v>0</v>
      </c>
    </row>
    <row r="103" spans="1:57" ht="12.95" customHeight="1">
      <c r="A103" s="1662"/>
      <c r="B103" s="1662"/>
      <c r="C103" s="1662"/>
      <c r="D103" s="1662"/>
      <c r="E103" s="1662"/>
      <c r="F103" s="1662"/>
      <c r="G103" s="1662"/>
      <c r="H103" s="1662"/>
      <c r="I103" s="1662"/>
      <c r="J103" s="1662"/>
      <c r="K103" s="1662"/>
      <c r="L103" s="1662"/>
      <c r="M103" s="1662"/>
      <c r="N103" s="1662"/>
      <c r="O103" s="1662"/>
      <c r="P103" s="1662"/>
      <c r="Q103" s="1662"/>
      <c r="R103" s="1662"/>
      <c r="S103" s="1662"/>
      <c r="T103" s="1662"/>
      <c r="U103" s="1662"/>
      <c r="V103" s="1662"/>
      <c r="W103" s="1662"/>
      <c r="X103" s="1662"/>
      <c r="Y103" s="1662"/>
      <c r="Z103" s="1662"/>
      <c r="AA103" s="1662"/>
      <c r="AB103" s="1662"/>
      <c r="AC103" s="1662"/>
      <c r="AD103" s="1662"/>
      <c r="AE103" s="1662"/>
      <c r="AF103" s="1662"/>
      <c r="AG103" s="1662"/>
      <c r="AH103" s="1662"/>
      <c r="AI103" s="1662"/>
      <c r="AJ103" s="1662"/>
      <c r="AK103" s="1662"/>
      <c r="AL103" s="1662"/>
      <c r="AM103" s="1662"/>
      <c r="AN103" s="1662"/>
      <c r="AO103" s="1662"/>
      <c r="AP103" s="1662"/>
      <c r="AQ103" s="1662"/>
      <c r="AR103" s="1662"/>
      <c r="AS103" s="1662"/>
      <c r="AT103" s="1662"/>
      <c r="AU103" s="17"/>
      <c r="AV103" s="17"/>
      <c r="AW103" s="17"/>
      <c r="AX103" s="17"/>
      <c r="AY103" s="17"/>
      <c r="BD103" t="s">
        <v>788</v>
      </c>
      <c r="BE103" s="1072" t="b">
        <f>T199="Yes"</f>
        <v>1</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789</v>
      </c>
      <c r="BE104" s="1072" t="b">
        <f>T200="Yes"</f>
        <v>0</v>
      </c>
    </row>
    <row r="105" spans="1:57" ht="12.95" customHeight="1">
      <c r="A105" s="1662" t="s">
        <v>790</v>
      </c>
      <c r="B105" s="1662"/>
      <c r="C105" s="1662"/>
      <c r="D105" s="1662"/>
      <c r="E105" s="1662"/>
      <c r="F105" s="1662"/>
      <c r="G105" s="1662"/>
      <c r="H105" s="1662"/>
      <c r="I105" s="1662"/>
      <c r="J105" s="1662"/>
      <c r="K105" s="1662"/>
      <c r="L105" s="1662"/>
      <c r="M105" s="1662"/>
      <c r="N105" s="1662"/>
      <c r="O105" s="1662"/>
      <c r="P105" s="1662"/>
      <c r="Q105" s="1662"/>
      <c r="R105" s="1662"/>
      <c r="S105" s="1662"/>
      <c r="T105" s="1662"/>
      <c r="U105" s="1662"/>
      <c r="V105" s="1662"/>
      <c r="W105" s="1662"/>
      <c r="X105" s="1662"/>
      <c r="Y105" s="1662"/>
      <c r="Z105" s="1662"/>
      <c r="AA105" s="1662"/>
      <c r="AB105" s="1662"/>
      <c r="AC105" s="1662"/>
      <c r="AD105" s="1662"/>
      <c r="AE105" s="1662"/>
      <c r="AF105" s="1662"/>
      <c r="AG105" s="1662"/>
      <c r="AH105" s="1662"/>
      <c r="AI105" s="1662"/>
      <c r="AJ105" s="1662"/>
      <c r="AK105" s="1662"/>
      <c r="AL105" s="1662"/>
      <c r="AM105" s="1662"/>
      <c r="AN105" s="1662"/>
      <c r="AO105" s="1662"/>
      <c r="AP105" s="1662"/>
      <c r="AQ105" s="1662"/>
      <c r="AR105" s="1662"/>
      <c r="AS105" s="1662"/>
      <c r="AT105" s="1662"/>
      <c r="AU105" s="17"/>
      <c r="AV105" s="17"/>
      <c r="AW105" s="17"/>
      <c r="AX105" s="17"/>
      <c r="AY105" s="17"/>
      <c r="BD105" s="3" t="s">
        <v>791</v>
      </c>
      <c r="BE105" s="1072" t="b">
        <f>V224="Yes"</f>
        <v>0</v>
      </c>
    </row>
    <row r="106" spans="1:57" ht="12.95" customHeight="1">
      <c r="A106" s="1662"/>
      <c r="B106" s="1662"/>
      <c r="C106" s="1662"/>
      <c r="D106" s="1662"/>
      <c r="E106" s="1662"/>
      <c r="F106" s="1662"/>
      <c r="G106" s="1662"/>
      <c r="H106" s="1662"/>
      <c r="I106" s="1662"/>
      <c r="J106" s="1662"/>
      <c r="K106" s="1662"/>
      <c r="L106" s="1662"/>
      <c r="M106" s="1662"/>
      <c r="N106" s="1662"/>
      <c r="O106" s="1662"/>
      <c r="P106" s="1662"/>
      <c r="Q106" s="1662"/>
      <c r="R106" s="1662"/>
      <c r="S106" s="1662"/>
      <c r="T106" s="1662"/>
      <c r="U106" s="1662"/>
      <c r="V106" s="1662"/>
      <c r="W106" s="1662"/>
      <c r="X106" s="1662"/>
      <c r="Y106" s="1662"/>
      <c r="Z106" s="1662"/>
      <c r="AA106" s="1662"/>
      <c r="AB106" s="1662"/>
      <c r="AC106" s="1662"/>
      <c r="AD106" s="1662"/>
      <c r="AE106" s="1662"/>
      <c r="AF106" s="1662"/>
      <c r="AG106" s="1662"/>
      <c r="AH106" s="1662"/>
      <c r="AI106" s="1662"/>
      <c r="AJ106" s="1662"/>
      <c r="AK106" s="1662"/>
      <c r="AL106" s="1662"/>
      <c r="AM106" s="1662"/>
      <c r="AN106" s="1662"/>
      <c r="AO106" s="1662"/>
      <c r="AP106" s="1662"/>
      <c r="AQ106" s="1662"/>
      <c r="AR106" s="1662"/>
      <c r="AS106" s="1662"/>
      <c r="AT106" s="1662"/>
      <c r="AU106" s="17"/>
      <c r="AV106" s="17"/>
      <c r="AW106" s="17"/>
      <c r="AX106" s="17"/>
      <c r="AY106" s="17"/>
      <c r="BD106" s="3" t="s">
        <v>792</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793</v>
      </c>
      <c r="BE107" s="1072" t="b">
        <f t="shared" si="0"/>
        <v>1</v>
      </c>
    </row>
    <row r="108" spans="1:57" ht="12.95" customHeight="1">
      <c r="A108" s="417" t="s">
        <v>794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795</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796</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797</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798</v>
      </c>
      <c r="G113" s="1663">
        <v>11</v>
      </c>
      <c r="H113" s="1663"/>
      <c r="I113" s="3" t="s">
        <v>799</v>
      </c>
      <c r="L113" s="1663" t="s">
        <v>800</v>
      </c>
      <c r="M113" s="1663"/>
      <c r="N113" s="1663"/>
      <c r="O113" s="1663"/>
      <c r="P113" s="1668" t="s">
        <v>801</v>
      </c>
      <c r="Q113" s="1668"/>
      <c r="R113" s="1668"/>
      <c r="S113" s="166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672" t="s">
        <v>802</v>
      </c>
      <c r="D115" s="1672"/>
      <c r="E115" s="1672"/>
      <c r="F115" s="1672"/>
      <c r="G115" s="1672"/>
      <c r="H115" s="1672"/>
      <c r="I115" s="1672"/>
      <c r="J115" s="1672"/>
      <c r="K115" s="1672"/>
      <c r="L115" s="134" t="s">
        <v>803</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804</v>
      </c>
      <c r="Y117" s="1663"/>
      <c r="Z117" s="1663"/>
      <c r="AA117" s="1663"/>
      <c r="AB117" s="1663"/>
      <c r="AC117" s="1663"/>
      <c r="AD117" s="1663"/>
      <c r="AE117" s="1663"/>
      <c r="AF117" s="1663"/>
      <c r="AG117" s="1663"/>
      <c r="AH117" s="1663"/>
      <c r="AI117" s="1663"/>
      <c r="AJ117" s="1663"/>
      <c r="AK117" s="1663"/>
    </row>
    <row r="118" spans="1:117" ht="12.95" customHeight="1">
      <c r="X118" s="3"/>
      <c r="Y118" s="3"/>
      <c r="Z118" s="3" t="s">
        <v>805</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63" t="s">
        <v>806</v>
      </c>
      <c r="Z120" s="1663"/>
      <c r="AA120" s="1663"/>
      <c r="AB120" s="1663"/>
      <c r="AC120" s="1663"/>
      <c r="AD120" s="1663"/>
      <c r="AE120" s="1663"/>
      <c r="AF120" s="1663"/>
      <c r="AG120" s="1663"/>
      <c r="AH120" s="1663"/>
      <c r="AI120" s="1663"/>
      <c r="AJ120" s="1663"/>
      <c r="AK120" s="166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808</v>
      </c>
      <c r="CR122" s="13"/>
      <c r="CS122" s="13"/>
      <c r="CT122" s="13"/>
      <c r="CU122" s="1566" t="s">
        <v>809</v>
      </c>
      <c r="CV122" s="1567"/>
      <c r="CW122" s="13"/>
      <c r="CX122" s="13" t="s">
        <v>810</v>
      </c>
      <c r="CY122" s="13"/>
      <c r="CZ122" s="13"/>
      <c r="DA122" s="13"/>
      <c r="DB122" s="13"/>
      <c r="DC122" s="13"/>
      <c r="DD122" s="13"/>
      <c r="DE122" s="13"/>
      <c r="DF122" s="13"/>
      <c r="DG122" s="1563" t="str">
        <f>T189</f>
        <v>Monterey</v>
      </c>
      <c r="DH122" s="1564"/>
      <c r="DI122" s="1564"/>
      <c r="DJ122" s="1564"/>
      <c r="DK122" s="1564"/>
      <c r="DL122" s="1564"/>
      <c r="DM122" s="1565"/>
    </row>
    <row r="123" spans="1:117" ht="12.95" customHeight="1">
      <c r="A123" s="3"/>
      <c r="B123" s="3"/>
      <c r="T123" s="3"/>
      <c r="U123" s="3"/>
      <c r="V123" s="3"/>
      <c r="W123" s="3"/>
      <c r="X123" s="3"/>
      <c r="Y123" s="1663" t="s">
        <v>811</v>
      </c>
      <c r="Z123" s="1663"/>
      <c r="AA123" s="1663"/>
      <c r="AB123" s="1663"/>
      <c r="AC123" s="1663"/>
      <c r="AD123" s="1663"/>
      <c r="AE123" s="1663"/>
      <c r="AF123" s="1663"/>
      <c r="AG123" s="1663"/>
      <c r="AH123" s="1663"/>
      <c r="AI123" s="1663"/>
      <c r="AJ123" s="1663"/>
      <c r="AK123" s="166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809</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813</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809</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472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814</v>
      </c>
    </row>
    <row r="150" spans="1:108" ht="12.95" customHeight="1">
      <c r="A150" s="3"/>
      <c r="B150" s="3"/>
      <c r="D150" s="3"/>
      <c r="E150" s="3"/>
      <c r="F150" s="1232"/>
      <c r="G150" s="1232"/>
      <c r="H150" s="1232"/>
      <c r="I150" s="1232"/>
      <c r="J150" s="1232"/>
      <c r="K150" s="1232"/>
      <c r="L150" s="1232"/>
      <c r="M150" s="1232"/>
      <c r="N150" s="1232"/>
      <c r="O150" s="1232"/>
      <c r="P150" s="1232"/>
      <c r="Q150" s="1232"/>
      <c r="R150" s="1232"/>
      <c r="S150" s="1232"/>
      <c r="T150" s="12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815</v>
      </c>
    </row>
    <row r="152" spans="1:108" ht="12.95" customHeight="1">
      <c r="BM152">
        <v>4</v>
      </c>
      <c r="BN152" s="3" t="s">
        <v>816</v>
      </c>
    </row>
    <row r="153" spans="1:108" ht="12.95" customHeight="1">
      <c r="D153" t="s">
        <v>817</v>
      </c>
      <c r="O153" s="1405" t="s">
        <v>818</v>
      </c>
      <c r="P153" s="1405"/>
      <c r="Q153" s="1405"/>
      <c r="R153" s="1405"/>
      <c r="S153" s="1405"/>
      <c r="T153" s="1405"/>
      <c r="U153" s="1405"/>
      <c r="V153" s="1405"/>
      <c r="W153" s="1405"/>
      <c r="X153" s="1405"/>
      <c r="Y153" s="1405"/>
      <c r="Z153" s="1405"/>
      <c r="AA153" s="1405"/>
      <c r="AB153" s="1405"/>
      <c r="AC153" s="1405"/>
      <c r="AD153" s="1405"/>
      <c r="AE153" s="1405"/>
      <c r="AF153" s="1405"/>
      <c r="AG153" s="1405"/>
      <c r="AH153" s="1405"/>
      <c r="BM153">
        <v>5</v>
      </c>
      <c r="BN153" s="3" t="s">
        <v>819</v>
      </c>
      <c r="CR153" s="26" t="s">
        <v>820</v>
      </c>
      <c r="CS153" s="27"/>
      <c r="CT153" s="27"/>
      <c r="CU153" s="27"/>
      <c r="CV153" s="27"/>
      <c r="CW153" s="27"/>
      <c r="CX153" s="13"/>
      <c r="CY153" s="26" t="s">
        <v>821</v>
      </c>
      <c r="CZ153" s="13"/>
      <c r="DA153" s="13"/>
      <c r="DB153" s="13"/>
      <c r="DC153" s="13"/>
      <c r="DD153" s="13"/>
    </row>
    <row r="154" spans="1:108" ht="12.95" customHeight="1">
      <c r="D154" s="210" t="s">
        <v>822</v>
      </c>
      <c r="O154" s="1274" t="s">
        <v>823</v>
      </c>
      <c r="P154" s="1274"/>
      <c r="Q154" s="1274"/>
      <c r="R154" s="1274"/>
      <c r="S154" s="1274"/>
      <c r="T154" s="1274"/>
      <c r="U154" s="1274"/>
      <c r="V154" s="1274"/>
      <c r="W154" s="1274"/>
      <c r="X154" s="1274"/>
      <c r="Y154" s="1274"/>
      <c r="Z154" s="1274"/>
      <c r="AA154" s="1274"/>
      <c r="AB154" s="1274"/>
      <c r="AC154" s="1274"/>
      <c r="AD154" s="1274"/>
      <c r="AE154" s="1274"/>
      <c r="AF154" s="1274"/>
      <c r="AG154" s="1274"/>
      <c r="AH154" s="1274"/>
      <c r="BM154">
        <v>6</v>
      </c>
      <c r="BN154" s="3" t="s">
        <v>824</v>
      </c>
      <c r="CR154" s="26"/>
      <c r="CS154" s="27"/>
      <c r="CT154" s="27"/>
      <c r="CU154" s="27"/>
      <c r="CV154" s="27"/>
      <c r="CW154" s="27"/>
      <c r="CX154" s="13"/>
      <c r="CY154" s="26"/>
      <c r="CZ154" s="13"/>
      <c r="DA154" s="13"/>
      <c r="DB154" s="13"/>
      <c r="DC154" s="13"/>
      <c r="DD154" s="13"/>
    </row>
    <row r="155" spans="1:108" ht="12.95" customHeight="1">
      <c r="D155" s="7" t="s">
        <v>825</v>
      </c>
      <c r="F155" s="7"/>
      <c r="G155" s="7"/>
      <c r="H155" s="7"/>
      <c r="I155" s="7"/>
      <c r="J155" s="7"/>
      <c r="K155" s="7"/>
      <c r="L155" s="7"/>
      <c r="M155" s="7"/>
      <c r="N155" s="7"/>
      <c r="O155" s="1678" t="str">
        <f>[1]Application!O155</f>
        <v>City Manager</v>
      </c>
      <c r="P155" s="1678"/>
      <c r="Q155" s="1678"/>
      <c r="R155" s="1678"/>
      <c r="S155" s="1678"/>
      <c r="T155" s="1678"/>
      <c r="U155" s="1678"/>
      <c r="V155" s="1678"/>
      <c r="W155" s="1678"/>
      <c r="X155" s="1678"/>
      <c r="Y155" s="1678"/>
      <c r="Z155" s="1678"/>
      <c r="AA155" s="1678"/>
      <c r="AB155" s="1678"/>
      <c r="AC155" s="1678"/>
      <c r="AD155" s="1678"/>
      <c r="AE155" s="1678"/>
      <c r="AF155" s="1678"/>
      <c r="AG155" s="1678"/>
      <c r="AH155" s="1678"/>
      <c r="BM155">
        <v>7</v>
      </c>
      <c r="BN155" s="3" t="s">
        <v>826</v>
      </c>
      <c r="CR155" s="26"/>
      <c r="CS155" s="27"/>
      <c r="CT155" s="27"/>
      <c r="CU155" s="27"/>
      <c r="CV155" s="27"/>
      <c r="CW155" s="27"/>
      <c r="CX155" s="13"/>
      <c r="CY155" s="26"/>
      <c r="CZ155" s="13"/>
      <c r="DA155" s="13"/>
      <c r="DB155" s="13"/>
      <c r="DC155" s="13"/>
      <c r="DD155" s="13"/>
    </row>
    <row r="156" spans="1:108" ht="12.95" customHeight="1">
      <c r="D156" t="s">
        <v>827</v>
      </c>
      <c r="O156" s="1335" t="s">
        <v>828</v>
      </c>
      <c r="P156" s="1335"/>
      <c r="Q156" s="1335"/>
      <c r="R156" s="1335"/>
      <c r="S156" s="1335"/>
      <c r="T156" s="1335"/>
      <c r="U156" s="1335"/>
      <c r="V156" s="1335"/>
      <c r="W156" s="1335"/>
      <c r="X156" s="1335"/>
      <c r="Y156" s="1335"/>
      <c r="Z156" s="1335"/>
      <c r="AA156" s="1335"/>
      <c r="AB156" s="1335"/>
      <c r="AC156" s="1335"/>
      <c r="AD156" s="1335"/>
      <c r="AE156" s="1335"/>
      <c r="AF156" s="1335"/>
      <c r="AG156" s="1335"/>
      <c r="AH156" s="1335"/>
      <c r="BT156" t="s">
        <v>472</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2.95" customHeight="1">
      <c r="D157" t="s">
        <v>831</v>
      </c>
      <c r="O157" s="1405" t="s">
        <v>832</v>
      </c>
      <c r="P157" s="1405"/>
      <c r="Q157" s="1405"/>
      <c r="R157" s="1405"/>
      <c r="S157" s="1405"/>
      <c r="T157" s="1405"/>
      <c r="U157" s="1405"/>
      <c r="V157" s="1405"/>
      <c r="W157" s="1405"/>
      <c r="X157" s="1405"/>
      <c r="Y157" s="7"/>
      <c r="Z157" s="7"/>
      <c r="AA157" s="7"/>
      <c r="AB157" s="7"/>
      <c r="AC157" s="7"/>
      <c r="AD157" s="7"/>
      <c r="AE157" s="7"/>
      <c r="AF157" s="7"/>
      <c r="BN157" s="133" t="s">
        <v>833</v>
      </c>
      <c r="BS157">
        <v>2</v>
      </c>
      <c r="BT157" t="s">
        <v>834</v>
      </c>
      <c r="CB157" s="196" t="s">
        <v>835</v>
      </c>
      <c r="CC157" s="132"/>
      <c r="CD157" s="132"/>
      <c r="CE157" s="132"/>
      <c r="CF157" s="132"/>
      <c r="CG157" s="132"/>
      <c r="CH157" s="132"/>
      <c r="CI157" s="3"/>
      <c r="CJ157" s="196" t="s">
        <v>836</v>
      </c>
      <c r="CK157" s="3"/>
      <c r="CL157" s="3"/>
      <c r="CM157" s="3"/>
      <c r="CN157" s="3"/>
      <c r="CR157" s="13"/>
      <c r="CS157" s="27"/>
      <c r="CT157" s="27"/>
      <c r="CU157" s="27"/>
      <c r="CV157" s="27"/>
      <c r="CW157" s="27"/>
      <c r="CX157" s="13"/>
      <c r="CY157" s="13"/>
      <c r="CZ157" s="13"/>
      <c r="DA157" s="13"/>
      <c r="DB157" s="13"/>
      <c r="DC157" s="13"/>
      <c r="DD157" s="13"/>
    </row>
    <row r="158" spans="1:108" ht="12.95" customHeight="1">
      <c r="D158" t="s">
        <v>837</v>
      </c>
      <c r="O158" s="1665">
        <v>93927</v>
      </c>
      <c r="P158" s="1665"/>
      <c r="Q158" s="1665"/>
      <c r="R158" s="1665"/>
      <c r="S158" s="8"/>
      <c r="T158" s="8"/>
      <c r="U158" s="8"/>
      <c r="V158" s="8"/>
      <c r="W158" s="8"/>
      <c r="X158" s="8"/>
      <c r="Y158" s="8"/>
      <c r="Z158" s="8"/>
      <c r="AA158" s="8"/>
      <c r="AB158" s="8"/>
      <c r="AC158" s="8"/>
      <c r="AD158" s="8"/>
      <c r="AE158" s="8"/>
      <c r="AF158" s="8"/>
      <c r="BN158" s="133" t="s">
        <v>838</v>
      </c>
      <c r="BS158">
        <v>7</v>
      </c>
      <c r="BT158" t="s">
        <v>839</v>
      </c>
      <c r="CB158" s="1158"/>
      <c r="CC158" s="1159"/>
      <c r="CD158" s="1160"/>
      <c r="CE158" s="1160"/>
      <c r="CF158" s="1160"/>
      <c r="CG158" s="1160"/>
      <c r="CH158" s="1160"/>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840</v>
      </c>
      <c r="O159" s="1655" t="s">
        <v>841</v>
      </c>
      <c r="P159" s="1655"/>
      <c r="Q159" s="1655"/>
      <c r="R159" s="1655"/>
      <c r="S159" s="1655"/>
      <c r="T159" s="1655"/>
      <c r="V159" s="72" t="s">
        <v>842</v>
      </c>
      <c r="W159" s="1666">
        <f>[1]Application!W159</f>
        <v>0</v>
      </c>
      <c r="X159" s="1666"/>
      <c r="Y159" s="9"/>
      <c r="Z159" s="9"/>
      <c r="AA159" s="9"/>
      <c r="AB159" s="9"/>
      <c r="AC159" s="9"/>
      <c r="AD159" s="9"/>
      <c r="AE159" s="9"/>
      <c r="AF159" s="9"/>
      <c r="BN159" s="133" t="s">
        <v>843</v>
      </c>
      <c r="BS159">
        <v>7</v>
      </c>
      <c r="BT159" t="s">
        <v>844</v>
      </c>
      <c r="CB159" s="250" t="s">
        <v>845</v>
      </c>
      <c r="CC159" s="251" t="s">
        <v>846</v>
      </c>
      <c r="CD159" s="251" t="s">
        <v>847</v>
      </c>
      <c r="CE159" s="251" t="s">
        <v>848</v>
      </c>
      <c r="CF159" s="251" t="s">
        <v>849</v>
      </c>
      <c r="CG159" s="251" t="s">
        <v>850</v>
      </c>
      <c r="CH159" s="251" t="s">
        <v>851</v>
      </c>
      <c r="CI159" s="3"/>
      <c r="CJ159" s="251" t="s">
        <v>846</v>
      </c>
      <c r="CK159" s="251" t="s">
        <v>847</v>
      </c>
      <c r="CL159" s="251" t="s">
        <v>848</v>
      </c>
      <c r="CM159" s="251" t="s">
        <v>849</v>
      </c>
      <c r="CN159" s="251" t="s">
        <v>850</v>
      </c>
      <c r="CR159" s="13"/>
      <c r="CS159" s="1161" t="s">
        <v>852</v>
      </c>
      <c r="CT159" s="1162" t="s">
        <v>847</v>
      </c>
      <c r="CU159" s="1162" t="s">
        <v>848</v>
      </c>
      <c r="CV159" s="1162" t="s">
        <v>849</v>
      </c>
      <c r="CW159" s="1162" t="s">
        <v>853</v>
      </c>
      <c r="CX159" s="13"/>
      <c r="CY159" s="13"/>
      <c r="CZ159" s="1161" t="s">
        <v>852</v>
      </c>
      <c r="DA159" s="1162" t="s">
        <v>847</v>
      </c>
      <c r="DB159" s="1162" t="s">
        <v>848</v>
      </c>
      <c r="DC159" s="1162" t="s">
        <v>849</v>
      </c>
      <c r="DD159" s="1162" t="s">
        <v>853</v>
      </c>
    </row>
    <row r="160" spans="1:108" ht="12.95" customHeight="1">
      <c r="D160" t="s">
        <v>854</v>
      </c>
      <c r="O160" s="1655" t="s">
        <v>855</v>
      </c>
      <c r="P160" s="1655"/>
      <c r="Q160" s="1655"/>
      <c r="R160" s="1655"/>
      <c r="S160" s="1655"/>
      <c r="T160" s="1655"/>
      <c r="U160" s="9"/>
      <c r="V160" s="9"/>
      <c r="W160" s="9"/>
      <c r="X160" s="9"/>
      <c r="Y160" s="9"/>
      <c r="Z160" s="9"/>
      <c r="AA160" s="9"/>
      <c r="AB160" s="9"/>
      <c r="AC160" s="9"/>
      <c r="AD160" s="9"/>
      <c r="AE160" s="9"/>
      <c r="AF160" s="9"/>
      <c r="BN160" s="133" t="s">
        <v>856</v>
      </c>
      <c r="BS160">
        <v>6</v>
      </c>
      <c r="BT160" t="s">
        <v>857</v>
      </c>
      <c r="CB160" s="252" t="s">
        <v>834</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833</v>
      </c>
      <c r="CS160" s="228">
        <v>491221</v>
      </c>
      <c r="CT160" s="228">
        <v>566373</v>
      </c>
      <c r="CU160" s="228">
        <v>683200</v>
      </c>
      <c r="CV160" s="228">
        <v>874496</v>
      </c>
      <c r="CW160" s="228">
        <v>974243</v>
      </c>
      <c r="CX160" s="13"/>
      <c r="CY160" s="133" t="s">
        <v>833</v>
      </c>
      <c r="CZ160" s="228">
        <v>491221</v>
      </c>
      <c r="DA160" s="228">
        <v>566373</v>
      </c>
      <c r="DB160" s="228">
        <v>683200</v>
      </c>
      <c r="DC160" s="228">
        <v>874496</v>
      </c>
      <c r="DD160" s="228">
        <v>974243</v>
      </c>
    </row>
    <row r="161" spans="1:108" ht="12.95" customHeight="1">
      <c r="D161" t="s">
        <v>858</v>
      </c>
      <c r="O161" s="1659" t="s">
        <v>859</v>
      </c>
      <c r="P161" s="1659"/>
      <c r="Q161" s="1659"/>
      <c r="R161" s="1659"/>
      <c r="S161" s="1659"/>
      <c r="T161" s="1659"/>
      <c r="U161" s="1659"/>
      <c r="V161" s="1659"/>
      <c r="W161" s="1659"/>
      <c r="X161" s="1659"/>
      <c r="Y161" s="1659"/>
      <c r="Z161" s="1659"/>
      <c r="AA161" s="1659"/>
      <c r="AB161" s="1659"/>
      <c r="AC161" s="1659"/>
      <c r="AD161" s="1659"/>
      <c r="AE161" s="1659"/>
      <c r="AF161" s="1659"/>
      <c r="AG161" s="1659"/>
      <c r="AH161" s="1659"/>
      <c r="BJ161" t="s">
        <v>701</v>
      </c>
      <c r="BN161" s="133" t="s">
        <v>860</v>
      </c>
      <c r="BS161">
        <v>7</v>
      </c>
      <c r="BT161" t="s">
        <v>861</v>
      </c>
      <c r="CB161" s="253" t="s">
        <v>839</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838</v>
      </c>
      <c r="CS161" s="226">
        <v>402640</v>
      </c>
      <c r="CT161" s="226">
        <v>464240</v>
      </c>
      <c r="CU161" s="226">
        <v>560000</v>
      </c>
      <c r="CV161" s="226">
        <v>716800</v>
      </c>
      <c r="CW161" s="226">
        <v>798560</v>
      </c>
      <c r="CX161" s="13"/>
      <c r="CY161" s="133" t="s">
        <v>838</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862</v>
      </c>
      <c r="BN162" s="133" t="s">
        <v>863</v>
      </c>
      <c r="BS162">
        <v>7</v>
      </c>
      <c r="BT162" t="s">
        <v>864</v>
      </c>
      <c r="CB162" s="253" t="s">
        <v>844</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843</v>
      </c>
      <c r="CS162" s="228">
        <v>402640</v>
      </c>
      <c r="CT162" s="228">
        <v>464240</v>
      </c>
      <c r="CU162" s="228">
        <v>560000</v>
      </c>
      <c r="CV162" s="228">
        <v>716800</v>
      </c>
      <c r="CW162" s="228">
        <v>798560</v>
      </c>
      <c r="CX162" s="13"/>
      <c r="CY162" s="133" t="s">
        <v>843</v>
      </c>
      <c r="CZ162" s="228">
        <v>402640</v>
      </c>
      <c r="DA162" s="228">
        <v>464240</v>
      </c>
      <c r="DB162" s="228">
        <v>560000</v>
      </c>
      <c r="DC162" s="228">
        <v>716800</v>
      </c>
      <c r="DD162" s="228">
        <v>798560</v>
      </c>
    </row>
    <row r="163" spans="1:108" ht="12.95" customHeight="1">
      <c r="C163" s="23" t="s">
        <v>865</v>
      </c>
      <c r="D163" s="3" t="s">
        <v>866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867</v>
      </c>
      <c r="BS163">
        <v>2</v>
      </c>
      <c r="BT163" t="s">
        <v>868</v>
      </c>
      <c r="CB163" s="253" t="s">
        <v>857</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856</v>
      </c>
      <c r="CS163" s="226">
        <v>369278</v>
      </c>
      <c r="CT163" s="226">
        <v>425774</v>
      </c>
      <c r="CU163" s="226">
        <v>513600</v>
      </c>
      <c r="CV163" s="226">
        <v>657408</v>
      </c>
      <c r="CW163" s="226">
        <v>732394</v>
      </c>
      <c r="CX163" s="13"/>
      <c r="CY163" s="133" t="s">
        <v>856</v>
      </c>
      <c r="CZ163" s="226">
        <v>369278</v>
      </c>
      <c r="DA163" s="226">
        <v>425774</v>
      </c>
      <c r="DB163" s="226">
        <v>513600</v>
      </c>
      <c r="DC163" s="226">
        <v>657408</v>
      </c>
      <c r="DD163" s="226">
        <v>732394</v>
      </c>
    </row>
    <row r="164" spans="1:108" ht="12.95" customHeight="1">
      <c r="C164" s="23"/>
      <c r="D164" s="1673" t="s">
        <v>869</v>
      </c>
      <c r="E164" s="1673"/>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D164" s="1673"/>
      <c r="AE164" s="1673"/>
      <c r="AF164" s="1673"/>
      <c r="AG164" s="1673"/>
      <c r="AH164" s="1673"/>
      <c r="BN164" s="133" t="s">
        <v>870</v>
      </c>
      <c r="BS164">
        <v>7</v>
      </c>
      <c r="BT164" t="s">
        <v>871</v>
      </c>
      <c r="CB164" s="253" t="s">
        <v>861</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860</v>
      </c>
      <c r="CS164" s="228">
        <v>402640</v>
      </c>
      <c r="CT164" s="228">
        <v>464240</v>
      </c>
      <c r="CU164" s="228">
        <v>560000</v>
      </c>
      <c r="CV164" s="228">
        <v>716800</v>
      </c>
      <c r="CW164" s="228">
        <v>798560</v>
      </c>
      <c r="CX164" s="13"/>
      <c r="CY164" s="133" t="s">
        <v>860</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3"/>
      <c r="P165" s="1163"/>
      <c r="Q165" s="1163"/>
      <c r="R165" s="1163"/>
      <c r="S165" s="1163"/>
      <c r="T165" s="1163"/>
      <c r="U165" s="1163"/>
      <c r="V165" s="1163"/>
      <c r="W165" s="1163"/>
      <c r="X165" s="1163"/>
      <c r="Y165" s="1163"/>
      <c r="Z165" s="1163"/>
      <c r="AA165" s="116"/>
      <c r="AB165" s="116"/>
      <c r="AC165" s="116"/>
      <c r="AD165" s="116"/>
      <c r="AE165" s="116"/>
      <c r="AF165" s="116"/>
      <c r="AG165" s="116"/>
      <c r="AH165" s="116"/>
      <c r="BN165" s="133" t="s">
        <v>872</v>
      </c>
      <c r="BS165">
        <v>6</v>
      </c>
      <c r="BT165" t="s">
        <v>873</v>
      </c>
      <c r="CB165" s="253" t="s">
        <v>864</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863</v>
      </c>
      <c r="CS165" s="226">
        <v>402640</v>
      </c>
      <c r="CT165" s="226">
        <v>464240</v>
      </c>
      <c r="CU165" s="226">
        <v>560000</v>
      </c>
      <c r="CV165" s="226">
        <v>716800</v>
      </c>
      <c r="CW165" s="226">
        <v>798560</v>
      </c>
      <c r="CX165" s="13"/>
      <c r="CY165" s="133" t="s">
        <v>863</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3"/>
      <c r="P166" s="1163"/>
      <c r="Q166" s="1163"/>
      <c r="R166" s="1163"/>
      <c r="S166" s="1163"/>
      <c r="T166" s="1163"/>
      <c r="U166" s="1163"/>
      <c r="V166" s="1163"/>
      <c r="W166" s="1163"/>
      <c r="X166" s="1163"/>
      <c r="Y166" s="1163"/>
      <c r="Z166" s="1163"/>
      <c r="AA166" s="116"/>
      <c r="AB166" s="116"/>
      <c r="AC166" s="116"/>
      <c r="AD166" s="116"/>
      <c r="AE166" s="116"/>
      <c r="AF166" s="116"/>
      <c r="AG166" s="116"/>
      <c r="AH166" s="116"/>
      <c r="BN166" s="133" t="s">
        <v>874</v>
      </c>
      <c r="BS166">
        <v>5</v>
      </c>
      <c r="BT166" t="s">
        <v>875</v>
      </c>
      <c r="CB166" s="253" t="s">
        <v>868</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867</v>
      </c>
      <c r="CS166" s="228">
        <v>491221</v>
      </c>
      <c r="CT166" s="228">
        <v>566373</v>
      </c>
      <c r="CU166" s="228">
        <v>683200</v>
      </c>
      <c r="CV166" s="228">
        <v>874496</v>
      </c>
      <c r="CW166" s="228">
        <v>974243</v>
      </c>
      <c r="CX166" s="13"/>
      <c r="CY166" s="133" t="s">
        <v>867</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3"/>
      <c r="P167" s="1163"/>
      <c r="Q167" s="1163"/>
      <c r="R167" s="1163"/>
      <c r="S167" s="1163"/>
      <c r="T167" s="1163"/>
      <c r="U167" s="1163"/>
      <c r="V167" s="1163"/>
      <c r="W167" s="1163"/>
      <c r="X167" s="1163"/>
      <c r="Y167" s="1163"/>
      <c r="Z167" s="1163"/>
      <c r="AA167" s="116"/>
      <c r="AB167" s="116"/>
      <c r="AC167" s="116"/>
      <c r="AD167" s="116"/>
      <c r="AE167" s="116"/>
      <c r="AF167" s="116"/>
      <c r="AG167" s="116"/>
      <c r="AH167" s="116"/>
      <c r="BN167" s="133" t="s">
        <v>876</v>
      </c>
      <c r="BS167">
        <v>7</v>
      </c>
      <c r="BT167" t="s">
        <v>877</v>
      </c>
      <c r="CB167" s="253" t="s">
        <v>871</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870</v>
      </c>
      <c r="CS167" s="226">
        <v>402640</v>
      </c>
      <c r="CT167" s="226">
        <v>464240</v>
      </c>
      <c r="CU167" s="226">
        <v>560000</v>
      </c>
      <c r="CV167" s="226">
        <v>716800</v>
      </c>
      <c r="CW167" s="226">
        <v>798560</v>
      </c>
      <c r="CX167" s="13"/>
      <c r="CY167" s="133" t="s">
        <v>870</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878</v>
      </c>
      <c r="BS168">
        <v>7</v>
      </c>
      <c r="BT168" t="s">
        <v>879</v>
      </c>
      <c r="CB168" s="253" t="s">
        <v>873</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872</v>
      </c>
      <c r="CS168" s="228">
        <v>360075</v>
      </c>
      <c r="CT168" s="228">
        <v>415163</v>
      </c>
      <c r="CU168" s="228">
        <v>500800</v>
      </c>
      <c r="CV168" s="228">
        <v>641024</v>
      </c>
      <c r="CW168" s="228">
        <v>714141</v>
      </c>
      <c r="CX168" s="13"/>
      <c r="CY168" s="133" t="s">
        <v>872</v>
      </c>
      <c r="CZ168" s="228">
        <v>360075</v>
      </c>
      <c r="DA168" s="228">
        <v>415163</v>
      </c>
      <c r="DB168" s="228">
        <v>500800</v>
      </c>
      <c r="DC168" s="228">
        <v>641024</v>
      </c>
      <c r="DD168" s="228">
        <v>714141</v>
      </c>
    </row>
    <row r="169" spans="1:108" ht="12.95" customHeight="1">
      <c r="A169" s="1419" t="s">
        <v>880</v>
      </c>
      <c r="B169" s="1419"/>
      <c r="C169" s="1419"/>
      <c r="D169" s="1419"/>
      <c r="E169" s="1419"/>
      <c r="F169" s="1419"/>
      <c r="G169" s="1419"/>
      <c r="H169" s="1419"/>
      <c r="I169" s="1419"/>
      <c r="J169" s="1419"/>
      <c r="K169" s="1419"/>
      <c r="L169" s="1419"/>
      <c r="M169" s="1419"/>
      <c r="N169" s="1419"/>
      <c r="O169" s="1419"/>
      <c r="P169" s="1419"/>
      <c r="Q169" s="1419"/>
      <c r="R169" s="1419"/>
      <c r="S169" s="1419"/>
      <c r="T169" s="1419"/>
      <c r="U169" s="1419"/>
      <c r="V169" s="1419"/>
      <c r="W169" s="1419"/>
      <c r="X169" s="1419"/>
      <c r="Y169" s="1419"/>
      <c r="Z169" s="1419"/>
      <c r="AA169" s="1419"/>
      <c r="AB169" s="1419"/>
      <c r="AC169" s="1419"/>
      <c r="AD169" s="1419"/>
      <c r="AE169" s="1419"/>
      <c r="AF169" s="1419"/>
      <c r="AG169" s="1419"/>
      <c r="AH169" s="1419"/>
      <c r="AI169" s="1419"/>
      <c r="AJ169" s="1419"/>
      <c r="AK169" s="1419"/>
      <c r="AL169" s="1419"/>
      <c r="AM169" s="1419"/>
      <c r="AN169" s="1419"/>
      <c r="AO169" s="1419"/>
      <c r="AP169" s="1419"/>
      <c r="AQ169" s="1419"/>
      <c r="AR169" s="1419"/>
      <c r="AS169" s="1419"/>
      <c r="AT169" s="1419"/>
      <c r="AU169" s="70"/>
      <c r="AV169" s="70"/>
      <c r="AW169" s="70"/>
      <c r="AX169" s="70"/>
      <c r="AY169" s="70"/>
      <c r="BN169" s="133" t="s">
        <v>881</v>
      </c>
      <c r="BS169">
        <v>5</v>
      </c>
      <c r="BT169" t="s">
        <v>882</v>
      </c>
      <c r="CB169" s="253" t="s">
        <v>875</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874</v>
      </c>
      <c r="CS169" s="226">
        <v>323262</v>
      </c>
      <c r="CT169" s="226">
        <v>372718</v>
      </c>
      <c r="CU169" s="226">
        <v>449600</v>
      </c>
      <c r="CV169" s="226">
        <v>575488</v>
      </c>
      <c r="CW169" s="226">
        <v>641130</v>
      </c>
      <c r="CX169" s="13"/>
      <c r="CY169" s="133" t="s">
        <v>874</v>
      </c>
      <c r="CZ169" s="226">
        <v>323262</v>
      </c>
      <c r="DA169" s="226">
        <v>372718</v>
      </c>
      <c r="DB169" s="226">
        <v>449600</v>
      </c>
      <c r="DC169" s="226">
        <v>575488</v>
      </c>
      <c r="DD169" s="226">
        <v>641130</v>
      </c>
    </row>
    <row r="170" spans="1:108" ht="12.95" customHeight="1">
      <c r="A170" s="1419"/>
      <c r="B170" s="1419"/>
      <c r="C170" s="1419"/>
      <c r="D170" s="1419"/>
      <c r="E170" s="1419"/>
      <c r="F170" s="1419"/>
      <c r="G170" s="1419"/>
      <c r="H170" s="1419"/>
      <c r="I170" s="1419"/>
      <c r="J170" s="1419"/>
      <c r="K170" s="1419"/>
      <c r="L170" s="1419"/>
      <c r="M170" s="1419"/>
      <c r="N170" s="1419"/>
      <c r="O170" s="1419"/>
      <c r="P170" s="1419"/>
      <c r="Q170" s="1419"/>
      <c r="R170" s="1419"/>
      <c r="S170" s="1419"/>
      <c r="T170" s="1419"/>
      <c r="U170" s="1419"/>
      <c r="V170" s="1419"/>
      <c r="W170" s="1419"/>
      <c r="X170" s="1419"/>
      <c r="Y170" s="1419"/>
      <c r="Z170" s="1419"/>
      <c r="AA170" s="1419"/>
      <c r="AB170" s="1419"/>
      <c r="AC170" s="1419"/>
      <c r="AD170" s="1419"/>
      <c r="AE170" s="1419"/>
      <c r="AF170" s="1419"/>
      <c r="AG170" s="1419"/>
      <c r="AH170" s="1419"/>
      <c r="AI170" s="1419"/>
      <c r="AJ170" s="1419"/>
      <c r="AK170" s="1419"/>
      <c r="AL170" s="1419"/>
      <c r="AM170" s="1419"/>
      <c r="AN170" s="1419"/>
      <c r="AO170" s="1419"/>
      <c r="AP170" s="1419"/>
      <c r="AQ170" s="1419"/>
      <c r="AR170" s="1419"/>
      <c r="AS170" s="1419"/>
      <c r="AT170" s="1419"/>
      <c r="AU170" s="70"/>
      <c r="AV170" s="70"/>
      <c r="AW170" s="70"/>
      <c r="AX170" s="70"/>
      <c r="AY170" s="70"/>
      <c r="BN170" s="133" t="s">
        <v>883</v>
      </c>
      <c r="BS170">
        <v>7</v>
      </c>
      <c r="BT170" t="s">
        <v>884</v>
      </c>
      <c r="CB170" s="253" t="s">
        <v>877</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876</v>
      </c>
      <c r="CS170" s="228">
        <v>402640</v>
      </c>
      <c r="CT170" s="228">
        <v>464240</v>
      </c>
      <c r="CU170" s="228">
        <v>560000</v>
      </c>
      <c r="CV170" s="228">
        <v>716800</v>
      </c>
      <c r="CW170" s="228">
        <v>798560</v>
      </c>
      <c r="CX170" s="13"/>
      <c r="CY170" s="133" t="s">
        <v>876</v>
      </c>
      <c r="CZ170" s="228">
        <v>402640</v>
      </c>
      <c r="DA170" s="228">
        <v>464240</v>
      </c>
      <c r="DB170" s="228">
        <v>560000</v>
      </c>
      <c r="DC170" s="228">
        <v>716800</v>
      </c>
      <c r="DD170" s="228">
        <v>798560</v>
      </c>
    </row>
    <row r="171" spans="1:108" ht="12.95" customHeight="1">
      <c r="BN171" s="133" t="s">
        <v>885</v>
      </c>
      <c r="BS171">
        <v>5</v>
      </c>
      <c r="BT171" t="s">
        <v>886</v>
      </c>
      <c r="CB171" s="253" t="s">
        <v>879</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878</v>
      </c>
      <c r="CS171" s="226">
        <v>402640</v>
      </c>
      <c r="CT171" s="226">
        <v>464240</v>
      </c>
      <c r="CU171" s="226">
        <v>560000</v>
      </c>
      <c r="CV171" s="226">
        <v>716800</v>
      </c>
      <c r="CW171" s="226">
        <v>798560</v>
      </c>
      <c r="CX171" s="13"/>
      <c r="CY171" s="133" t="s">
        <v>878</v>
      </c>
      <c r="CZ171" s="226">
        <v>402640</v>
      </c>
      <c r="DA171" s="226">
        <v>464240</v>
      </c>
      <c r="DB171" s="226">
        <v>560000</v>
      </c>
      <c r="DC171" s="226">
        <v>716800</v>
      </c>
      <c r="DD171" s="226">
        <v>798560</v>
      </c>
    </row>
    <row r="172" spans="1:108" ht="12.95" customHeight="1">
      <c r="A172" s="2" t="s">
        <v>887</v>
      </c>
      <c r="C172" s="2" t="s">
        <v>91</v>
      </c>
      <c r="BN172" s="133" t="s">
        <v>888</v>
      </c>
      <c r="BS172">
        <v>5</v>
      </c>
      <c r="BT172" t="s">
        <v>889</v>
      </c>
      <c r="CB172" s="253" t="s">
        <v>882</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881</v>
      </c>
      <c r="CS172" s="228">
        <v>381933</v>
      </c>
      <c r="CT172" s="228">
        <v>440365</v>
      </c>
      <c r="CU172" s="228">
        <v>531200</v>
      </c>
      <c r="CV172" s="228">
        <v>679936</v>
      </c>
      <c r="CW172" s="228">
        <v>757491</v>
      </c>
      <c r="CX172" s="13"/>
      <c r="CY172" s="133" t="s">
        <v>881</v>
      </c>
      <c r="CZ172" s="228">
        <v>381933</v>
      </c>
      <c r="DA172" s="228">
        <v>440365</v>
      </c>
      <c r="DB172" s="228">
        <v>531200</v>
      </c>
      <c r="DC172" s="228">
        <v>679936</v>
      </c>
      <c r="DD172" s="228">
        <v>757491</v>
      </c>
    </row>
    <row r="173" spans="1:108" ht="12.95" customHeight="1">
      <c r="C173" s="20"/>
      <c r="D173" t="s">
        <v>890</v>
      </c>
      <c r="J173" s="1677" t="s">
        <v>891</v>
      </c>
      <c r="K173" s="1677"/>
      <c r="L173" s="1677"/>
      <c r="M173" s="1677"/>
      <c r="N173" s="1677"/>
      <c r="O173" s="1677"/>
      <c r="P173" s="1677"/>
      <c r="Q173" s="1677"/>
      <c r="R173" s="1677"/>
      <c r="S173" s="1677"/>
      <c r="U173" s="21"/>
      <c r="X173" s="21"/>
      <c r="BB173" s="3" t="s">
        <v>472</v>
      </c>
      <c r="BN173" s="133" t="s">
        <v>892</v>
      </c>
      <c r="BS173">
        <v>7</v>
      </c>
      <c r="BT173" t="s">
        <v>893</v>
      </c>
      <c r="CB173" s="253" t="s">
        <v>884</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883</v>
      </c>
      <c r="CS173" s="226">
        <v>402640</v>
      </c>
      <c r="CT173" s="226">
        <v>464240</v>
      </c>
      <c r="CU173" s="226">
        <v>560000</v>
      </c>
      <c r="CV173" s="226">
        <v>716800</v>
      </c>
      <c r="CW173" s="226">
        <v>798560</v>
      </c>
      <c r="CX173" s="13"/>
      <c r="CY173" s="133" t="s">
        <v>883</v>
      </c>
      <c r="CZ173" s="226">
        <v>402640</v>
      </c>
      <c r="DA173" s="226">
        <v>464240</v>
      </c>
      <c r="DB173" s="226">
        <v>560000</v>
      </c>
      <c r="DC173" s="226">
        <v>716800</v>
      </c>
      <c r="DD173" s="226">
        <v>798560</v>
      </c>
    </row>
    <row r="174" spans="1:108" ht="12.95" customHeight="1">
      <c r="C174" s="20"/>
      <c r="D174" s="3" t="s">
        <v>894</v>
      </c>
      <c r="J174" s="1335" t="s">
        <v>895</v>
      </c>
      <c r="K174" s="1335"/>
      <c r="L174" s="1335"/>
      <c r="M174" s="1335"/>
      <c r="N174" s="1335"/>
      <c r="O174" s="1335"/>
      <c r="P174" s="1335"/>
      <c r="Q174" s="1335"/>
      <c r="R174" s="1335"/>
      <c r="S174" s="1335"/>
      <c r="T174" s="1335"/>
      <c r="U174" s="1335"/>
      <c r="V174" s="1335"/>
      <c r="W174" s="1335"/>
      <c r="X174" s="1335"/>
      <c r="Y174" s="1335"/>
      <c r="Z174" s="1335"/>
      <c r="AA174" s="1335"/>
      <c r="AB174" s="1335"/>
      <c r="BB174" t="s">
        <v>896</v>
      </c>
      <c r="BN174" s="133" t="s">
        <v>897</v>
      </c>
      <c r="BS174">
        <v>7</v>
      </c>
      <c r="BT174" t="s">
        <v>898</v>
      </c>
      <c r="CB174" s="253" t="s">
        <v>886</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885</v>
      </c>
      <c r="CS174" s="228">
        <v>323262</v>
      </c>
      <c r="CT174" s="228">
        <v>372718</v>
      </c>
      <c r="CU174" s="228">
        <v>449600</v>
      </c>
      <c r="CV174" s="228">
        <v>575488</v>
      </c>
      <c r="CW174" s="228">
        <v>641130</v>
      </c>
      <c r="CX174" s="13"/>
      <c r="CY174" s="133" t="s">
        <v>885</v>
      </c>
      <c r="CZ174" s="228">
        <v>323262</v>
      </c>
      <c r="DA174" s="228">
        <v>372718</v>
      </c>
      <c r="DB174" s="228">
        <v>449600</v>
      </c>
      <c r="DC174" s="228">
        <v>575488</v>
      </c>
      <c r="DD174" s="228">
        <v>641130</v>
      </c>
    </row>
    <row r="175" spans="1:108" ht="12.95" customHeight="1">
      <c r="C175" s="7"/>
      <c r="D175" s="3" t="s">
        <v>899</v>
      </c>
      <c r="O175" s="23"/>
      <c r="U175" s="1229" t="s">
        <v>862</v>
      </c>
      <c r="V175" s="1229"/>
      <c r="BB175" t="s">
        <v>900</v>
      </c>
      <c r="BN175" s="133" t="s">
        <v>901</v>
      </c>
      <c r="BS175">
        <v>1</v>
      </c>
      <c r="BT175" t="s">
        <v>902</v>
      </c>
      <c r="CB175" s="253" t="s">
        <v>889</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888</v>
      </c>
      <c r="CS175" s="226">
        <v>323262</v>
      </c>
      <c r="CT175" s="226">
        <v>372718</v>
      </c>
      <c r="CU175" s="226">
        <v>449600</v>
      </c>
      <c r="CV175" s="226">
        <v>575488</v>
      </c>
      <c r="CW175" s="226">
        <v>641130</v>
      </c>
      <c r="CX175" s="13"/>
      <c r="CY175" s="133" t="s">
        <v>888</v>
      </c>
      <c r="CZ175" s="226">
        <v>323262</v>
      </c>
      <c r="DA175" s="226">
        <v>372718</v>
      </c>
      <c r="DB175" s="226">
        <v>449600</v>
      </c>
      <c r="DC175" s="226">
        <v>575488</v>
      </c>
      <c r="DD175" s="226">
        <v>641130</v>
      </c>
    </row>
    <row r="176" spans="1:108" ht="12.95" customHeight="1">
      <c r="C176" s="7"/>
      <c r="D176" s="22"/>
      <c r="E176" t="s">
        <v>903</v>
      </c>
      <c r="O176" s="23"/>
      <c r="P176" t="s">
        <v>904</v>
      </c>
      <c r="T176" s="23" t="s">
        <v>905</v>
      </c>
      <c r="U176" s="1342">
        <v>25</v>
      </c>
      <c r="V176" s="1342"/>
      <c r="W176" s="1" t="s">
        <v>906</v>
      </c>
      <c r="X176" s="1658">
        <v>681</v>
      </c>
      <c r="Y176" s="1658"/>
      <c r="BB176" t="s">
        <v>907</v>
      </c>
      <c r="BN176" s="133" t="s">
        <v>908</v>
      </c>
      <c r="BS176">
        <v>5</v>
      </c>
      <c r="BT176" t="s">
        <v>909</v>
      </c>
      <c r="CB176" s="253" t="s">
        <v>893</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892</v>
      </c>
      <c r="CS176" s="228">
        <v>402640</v>
      </c>
      <c r="CT176" s="228">
        <v>464240</v>
      </c>
      <c r="CU176" s="228">
        <v>560000</v>
      </c>
      <c r="CV176" s="228">
        <v>716800</v>
      </c>
      <c r="CW176" s="228">
        <v>798560</v>
      </c>
      <c r="CX176" s="13"/>
      <c r="CY176" s="133" t="s">
        <v>892</v>
      </c>
      <c r="CZ176" s="228">
        <v>402640</v>
      </c>
      <c r="DA176" s="228">
        <v>464240</v>
      </c>
      <c r="DB176" s="228">
        <v>560000</v>
      </c>
      <c r="DC176" s="228">
        <v>716800</v>
      </c>
      <c r="DD176" s="228">
        <v>798560</v>
      </c>
    </row>
    <row r="177" spans="1:108" ht="12.95" customHeight="1">
      <c r="C177" s="20"/>
      <c r="D177" t="s">
        <v>910</v>
      </c>
      <c r="R177" s="1229" t="s">
        <v>701</v>
      </c>
      <c r="S177" s="1229"/>
      <c r="BB177" t="s">
        <v>911</v>
      </c>
      <c r="BN177" s="133" t="s">
        <v>912</v>
      </c>
      <c r="BS177">
        <v>2</v>
      </c>
      <c r="BT177" t="s">
        <v>913</v>
      </c>
      <c r="CB177" s="253" t="s">
        <v>898</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897</v>
      </c>
      <c r="CS177" s="226">
        <v>402640</v>
      </c>
      <c r="CT177" s="226">
        <v>464240</v>
      </c>
      <c r="CU177" s="226">
        <v>560000</v>
      </c>
      <c r="CV177" s="226">
        <v>716800</v>
      </c>
      <c r="CW177" s="226">
        <v>798560</v>
      </c>
      <c r="CX177" s="13"/>
      <c r="CY177" s="133" t="s">
        <v>897</v>
      </c>
      <c r="CZ177" s="226">
        <v>402640</v>
      </c>
      <c r="DA177" s="226">
        <v>464240</v>
      </c>
      <c r="DB177" s="226">
        <v>560000</v>
      </c>
      <c r="DC177" s="226">
        <v>716800</v>
      </c>
      <c r="DD177" s="226">
        <v>798560</v>
      </c>
    </row>
    <row r="178" spans="1:108" ht="12.95" customHeight="1">
      <c r="C178" s="20"/>
      <c r="D178" s="3" t="s">
        <v>914</v>
      </c>
      <c r="AA178" t="s">
        <v>904</v>
      </c>
      <c r="AE178" s="23" t="s">
        <v>905</v>
      </c>
      <c r="AF178" s="1657"/>
      <c r="AG178" s="1657"/>
      <c r="AH178" s="1" t="s">
        <v>906</v>
      </c>
      <c r="AI178" s="1675"/>
      <c r="AJ178" s="1675"/>
      <c r="AK178" s="1675"/>
      <c r="BB178" t="s">
        <v>915</v>
      </c>
      <c r="BN178" s="133" t="s">
        <v>916</v>
      </c>
      <c r="BS178">
        <v>7</v>
      </c>
      <c r="BT178" t="s">
        <v>917</v>
      </c>
      <c r="CB178" s="253" t="s">
        <v>902</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901</v>
      </c>
      <c r="CS178" s="228">
        <v>437727</v>
      </c>
      <c r="CT178" s="228">
        <v>504695</v>
      </c>
      <c r="CU178" s="228">
        <v>608800</v>
      </c>
      <c r="CV178" s="228">
        <v>779264</v>
      </c>
      <c r="CW178" s="228">
        <v>868149</v>
      </c>
      <c r="CX178" s="13"/>
      <c r="CY178" s="133" t="s">
        <v>901</v>
      </c>
      <c r="CZ178" s="228">
        <v>437727</v>
      </c>
      <c r="DA178" s="228">
        <v>504695</v>
      </c>
      <c r="DB178" s="228">
        <v>608800</v>
      </c>
      <c r="DC178" s="228">
        <v>779264</v>
      </c>
      <c r="DD178" s="228">
        <v>868149</v>
      </c>
    </row>
    <row r="179" spans="1:108" ht="12.95" customHeight="1">
      <c r="C179" s="20"/>
      <c r="BN179" s="133" t="s">
        <v>918</v>
      </c>
      <c r="BS179">
        <v>7</v>
      </c>
      <c r="BT179" t="s">
        <v>919</v>
      </c>
      <c r="CB179" s="253" t="s">
        <v>909</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908</v>
      </c>
      <c r="CS179" s="226">
        <v>323262</v>
      </c>
      <c r="CT179" s="226">
        <v>372718</v>
      </c>
      <c r="CU179" s="226">
        <v>449600</v>
      </c>
      <c r="CV179" s="226">
        <v>575488</v>
      </c>
      <c r="CW179" s="226">
        <v>641130</v>
      </c>
      <c r="CX179" s="13"/>
      <c r="CY179" s="133" t="s">
        <v>908</v>
      </c>
      <c r="CZ179" s="226">
        <v>323262</v>
      </c>
      <c r="DA179" s="226">
        <v>372718</v>
      </c>
      <c r="DB179" s="226">
        <v>449600</v>
      </c>
      <c r="DC179" s="226">
        <v>575488</v>
      </c>
      <c r="DD179" s="226">
        <v>641130</v>
      </c>
    </row>
    <row r="180" spans="1:108" ht="12.95" customHeight="1">
      <c r="C180" s="20"/>
      <c r="D180" s="3" t="s">
        <v>920</v>
      </c>
      <c r="X180" s="1229" t="s">
        <v>701</v>
      </c>
      <c r="Y180" s="1229"/>
      <c r="BN180" s="133" t="s">
        <v>921</v>
      </c>
      <c r="BS180">
        <v>5</v>
      </c>
      <c r="BT180" t="s">
        <v>922</v>
      </c>
      <c r="CB180" s="253" t="s">
        <v>913</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912</v>
      </c>
      <c r="CS180" s="228">
        <v>406666</v>
      </c>
      <c r="CT180" s="228">
        <v>468882</v>
      </c>
      <c r="CU180" s="228">
        <v>565600</v>
      </c>
      <c r="CV180" s="228">
        <v>723968</v>
      </c>
      <c r="CW180" s="228">
        <v>806546</v>
      </c>
      <c r="CX180" s="13"/>
      <c r="CY180" s="133" t="s">
        <v>912</v>
      </c>
      <c r="CZ180" s="228">
        <v>406666</v>
      </c>
      <c r="DA180" s="228">
        <v>468882</v>
      </c>
      <c r="DB180" s="228">
        <v>565600</v>
      </c>
      <c r="DC180" s="228">
        <v>723968</v>
      </c>
      <c r="DD180" s="228">
        <v>806546</v>
      </c>
    </row>
    <row r="181" spans="1:108" ht="12.95" customHeight="1">
      <c r="C181" s="7"/>
      <c r="E181" s="3" t="s">
        <v>923</v>
      </c>
      <c r="BN181" s="133" t="s">
        <v>924</v>
      </c>
      <c r="BS181">
        <v>7</v>
      </c>
      <c r="BT181" t="s">
        <v>925</v>
      </c>
      <c r="CB181" s="253" t="s">
        <v>917</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916</v>
      </c>
      <c r="CS181" s="226">
        <v>402640</v>
      </c>
      <c r="CT181" s="226">
        <v>464240</v>
      </c>
      <c r="CU181" s="226">
        <v>560000</v>
      </c>
      <c r="CV181" s="226">
        <v>716800</v>
      </c>
      <c r="CW181" s="226">
        <v>798560</v>
      </c>
      <c r="CX181" s="13"/>
      <c r="CY181" s="133" t="s">
        <v>916</v>
      </c>
      <c r="CZ181" s="226">
        <v>402640</v>
      </c>
      <c r="DA181" s="226">
        <v>464240</v>
      </c>
      <c r="DB181" s="226">
        <v>560000</v>
      </c>
      <c r="DC181" s="226">
        <v>716800</v>
      </c>
      <c r="DD181" s="226">
        <v>798560</v>
      </c>
    </row>
    <row r="182" spans="1:108" ht="12.95" customHeight="1">
      <c r="C182" s="430"/>
      <c r="BN182" s="133" t="s">
        <v>926</v>
      </c>
      <c r="BS182">
        <v>7</v>
      </c>
      <c r="BT182" t="s">
        <v>927</v>
      </c>
      <c r="CB182" s="253" t="s">
        <v>919</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918</v>
      </c>
      <c r="CS182" s="228">
        <v>402640</v>
      </c>
      <c r="CT182" s="228">
        <v>464240</v>
      </c>
      <c r="CU182" s="228">
        <v>560000</v>
      </c>
      <c r="CV182" s="228">
        <v>716800</v>
      </c>
      <c r="CW182" s="228">
        <v>798560</v>
      </c>
      <c r="CX182" s="13"/>
      <c r="CY182" s="133" t="s">
        <v>918</v>
      </c>
      <c r="CZ182" s="228">
        <v>402640</v>
      </c>
      <c r="DA182" s="228">
        <v>464240</v>
      </c>
      <c r="DB182" s="228">
        <v>560000</v>
      </c>
      <c r="DC182" s="228">
        <v>716800</v>
      </c>
      <c r="DD182" s="228">
        <v>798560</v>
      </c>
    </row>
    <row r="183" spans="1:108" ht="12.95" customHeight="1">
      <c r="A183" s="2" t="s">
        <v>928</v>
      </c>
      <c r="C183" s="2" t="s">
        <v>93</v>
      </c>
      <c r="BN183" s="133" t="s">
        <v>929</v>
      </c>
      <c r="BS183">
        <v>4</v>
      </c>
      <c r="BT183" t="s">
        <v>930</v>
      </c>
      <c r="CB183" s="253" t="s">
        <v>922</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921</v>
      </c>
      <c r="CS183" s="226">
        <v>323262</v>
      </c>
      <c r="CT183" s="226">
        <v>372718</v>
      </c>
      <c r="CU183" s="226">
        <v>449600</v>
      </c>
      <c r="CV183" s="226">
        <v>575488</v>
      </c>
      <c r="CW183" s="226">
        <v>641130</v>
      </c>
      <c r="CX183" s="13"/>
      <c r="CY183" s="133" t="s">
        <v>921</v>
      </c>
      <c r="CZ183" s="226">
        <v>323262</v>
      </c>
      <c r="DA183" s="226">
        <v>372718</v>
      </c>
      <c r="DB183" s="226">
        <v>449600</v>
      </c>
      <c r="DC183" s="226">
        <v>575488</v>
      </c>
      <c r="DD183" s="226">
        <v>641130</v>
      </c>
    </row>
    <row r="184" spans="1:108" ht="12.95" customHeight="1">
      <c r="C184" s="18"/>
      <c r="D184" t="s">
        <v>931</v>
      </c>
      <c r="I184" s="1349" t="str">
        <f>H18</f>
        <v>Greenfield Commons II</v>
      </c>
      <c r="J184" s="1349"/>
      <c r="K184" s="1349"/>
      <c r="L184" s="1349"/>
      <c r="M184" s="1349"/>
      <c r="N184" s="1349"/>
      <c r="O184" s="1349"/>
      <c r="P184" s="1349"/>
      <c r="Q184" s="1349"/>
      <c r="R184" s="1349"/>
      <c r="S184" s="1349"/>
      <c r="T184" s="1349"/>
      <c r="U184" s="1349"/>
      <c r="V184" s="1349"/>
      <c r="W184" s="1349"/>
      <c r="X184" s="1349"/>
      <c r="Y184" s="1349"/>
      <c r="Z184" s="1349"/>
      <c r="AA184" s="1349"/>
      <c r="AB184" s="1349"/>
      <c r="AC184" s="1349"/>
      <c r="AD184" s="1349"/>
      <c r="AE184" s="1349"/>
      <c r="BC184" t="s">
        <v>932</v>
      </c>
      <c r="BN184" s="133" t="s">
        <v>933</v>
      </c>
      <c r="BS184">
        <v>4</v>
      </c>
      <c r="BT184" t="s">
        <v>934</v>
      </c>
      <c r="CB184" s="253" t="s">
        <v>925</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924</v>
      </c>
      <c r="CS184" s="228">
        <v>402640</v>
      </c>
      <c r="CT184" s="228">
        <v>464240</v>
      </c>
      <c r="CU184" s="228">
        <v>560000</v>
      </c>
      <c r="CV184" s="228">
        <v>716800</v>
      </c>
      <c r="CW184" s="228">
        <v>798560</v>
      </c>
      <c r="CX184" s="13"/>
      <c r="CY184" s="133" t="s">
        <v>924</v>
      </c>
      <c r="CZ184" s="228">
        <v>402640</v>
      </c>
      <c r="DA184" s="228">
        <v>464240</v>
      </c>
      <c r="DB184" s="228">
        <v>560000</v>
      </c>
      <c r="DC184" s="228">
        <v>716800</v>
      </c>
      <c r="DD184" s="228">
        <v>798560</v>
      </c>
    </row>
    <row r="185" spans="1:108" ht="12.95" customHeight="1">
      <c r="C185" s="18"/>
      <c r="D185" t="s">
        <v>935</v>
      </c>
      <c r="I185" s="1350" t="s">
        <v>936</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937</v>
      </c>
      <c r="BN185" s="133" t="s">
        <v>938</v>
      </c>
      <c r="BS185">
        <v>7</v>
      </c>
      <c r="BT185" t="s">
        <v>939</v>
      </c>
      <c r="CB185" s="253" t="s">
        <v>927</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926</v>
      </c>
      <c r="CS185" s="226">
        <v>402640</v>
      </c>
      <c r="CT185" s="226">
        <v>464240</v>
      </c>
      <c r="CU185" s="226">
        <v>560000</v>
      </c>
      <c r="CV185" s="226">
        <v>716800</v>
      </c>
      <c r="CW185" s="226">
        <v>798560</v>
      </c>
      <c r="CX185" s="13"/>
      <c r="CY185" s="133" t="s">
        <v>926</v>
      </c>
      <c r="CZ185" s="226">
        <v>402640</v>
      </c>
      <c r="DA185" s="226">
        <v>464240</v>
      </c>
      <c r="DB185" s="226">
        <v>560000</v>
      </c>
      <c r="DC185" s="226">
        <v>716800</v>
      </c>
      <c r="DD185" s="226">
        <v>798560</v>
      </c>
    </row>
    <row r="186" spans="1:108" ht="12.95" customHeight="1">
      <c r="C186" s="18"/>
      <c r="E186" t="s">
        <v>940</v>
      </c>
      <c r="BN186" s="133" t="s">
        <v>941</v>
      </c>
      <c r="BS186">
        <v>4</v>
      </c>
      <c r="BT186" t="s">
        <v>942</v>
      </c>
      <c r="CB186" s="253" t="s">
        <v>930</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929</v>
      </c>
      <c r="CS186" s="228">
        <v>442904</v>
      </c>
      <c r="CT186" s="228">
        <v>510664</v>
      </c>
      <c r="CU186" s="228">
        <v>616000</v>
      </c>
      <c r="CV186" s="228">
        <v>788480</v>
      </c>
      <c r="CW186" s="228">
        <v>878416</v>
      </c>
      <c r="CX186" s="13"/>
      <c r="CY186" s="133" t="s">
        <v>929</v>
      </c>
      <c r="CZ186" s="228">
        <v>442904</v>
      </c>
      <c r="DA186" s="228">
        <v>510664</v>
      </c>
      <c r="DB186" s="228">
        <v>616000</v>
      </c>
      <c r="DC186" s="228">
        <v>788480</v>
      </c>
      <c r="DD186" s="228">
        <v>878416</v>
      </c>
    </row>
    <row r="187" spans="1:108" ht="12.95" customHeight="1">
      <c r="C187" s="18"/>
      <c r="E187" s="1674"/>
      <c r="F187" s="1674"/>
      <c r="G187" s="1674"/>
      <c r="H187" s="1674"/>
      <c r="I187" s="1674"/>
      <c r="J187" s="1674"/>
      <c r="K187" s="1674"/>
      <c r="L187" s="1674"/>
      <c r="M187" s="1674"/>
      <c r="N187" s="1674"/>
      <c r="O187" s="1674"/>
      <c r="P187" s="1674"/>
      <c r="Q187" s="1674"/>
      <c r="R187" s="1674"/>
      <c r="S187" s="1674"/>
      <c r="T187" s="1674"/>
      <c r="U187" s="1674"/>
      <c r="V187" s="1674"/>
      <c r="W187" s="1674"/>
      <c r="X187" s="1674"/>
      <c r="Y187" s="1674"/>
      <c r="Z187" s="1674"/>
      <c r="AA187" s="1674"/>
      <c r="AB187" s="1674"/>
      <c r="AC187" s="1674"/>
      <c r="AD187" s="1674"/>
      <c r="AE187" s="1674"/>
      <c r="BN187" s="133" t="s">
        <v>943</v>
      </c>
      <c r="BS187">
        <v>6</v>
      </c>
      <c r="BT187" t="s">
        <v>944</v>
      </c>
      <c r="CB187" s="253" t="s">
        <v>934</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933</v>
      </c>
      <c r="CS187" s="226">
        <v>406666</v>
      </c>
      <c r="CT187" s="226">
        <v>468882</v>
      </c>
      <c r="CU187" s="226">
        <v>565600</v>
      </c>
      <c r="CV187" s="226">
        <v>723968</v>
      </c>
      <c r="CW187" s="226">
        <v>806546</v>
      </c>
      <c r="CX187" s="13"/>
      <c r="CY187" s="133" t="s">
        <v>933</v>
      </c>
      <c r="CZ187" s="226">
        <v>406666</v>
      </c>
      <c r="DA187" s="226">
        <v>468882</v>
      </c>
      <c r="DB187" s="226">
        <v>565600</v>
      </c>
      <c r="DC187" s="226">
        <v>723968</v>
      </c>
      <c r="DD187" s="226">
        <v>806546</v>
      </c>
    </row>
    <row r="188" spans="1:108" ht="12.95" customHeight="1">
      <c r="C188" s="18"/>
      <c r="E188" s="1628"/>
      <c r="F188" s="1628"/>
      <c r="G188" s="1628"/>
      <c r="H188" s="1628"/>
      <c r="I188" s="1628"/>
      <c r="J188" s="1628"/>
      <c r="K188" s="1628"/>
      <c r="L188" s="1628"/>
      <c r="M188" s="1628"/>
      <c r="N188" s="1628"/>
      <c r="O188" s="1628"/>
      <c r="P188" s="1628"/>
      <c r="Q188" s="1628"/>
      <c r="R188" s="1628"/>
      <c r="S188" s="1628"/>
      <c r="T188" s="1628"/>
      <c r="U188" s="1628"/>
      <c r="V188" s="1628"/>
      <c r="W188" s="1628"/>
      <c r="X188" s="1628"/>
      <c r="Y188" s="1628"/>
      <c r="Z188" s="1628"/>
      <c r="AA188" s="1628"/>
      <c r="AB188" s="1628"/>
      <c r="AC188" s="1628"/>
      <c r="AD188" s="1628"/>
      <c r="AE188" s="1628"/>
      <c r="BN188" s="133" t="s">
        <v>945</v>
      </c>
      <c r="BS188">
        <v>7</v>
      </c>
      <c r="BT188" t="s">
        <v>946</v>
      </c>
      <c r="CB188" s="253" t="s">
        <v>939</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938</v>
      </c>
      <c r="CS188" s="228">
        <v>402640</v>
      </c>
      <c r="CT188" s="228">
        <v>464240</v>
      </c>
      <c r="CU188" s="228">
        <v>560000</v>
      </c>
      <c r="CV188" s="228">
        <v>716800</v>
      </c>
      <c r="CW188" s="228">
        <v>798560</v>
      </c>
      <c r="CX188" s="13"/>
      <c r="CY188" s="133" t="s">
        <v>938</v>
      </c>
      <c r="CZ188" s="228">
        <v>402640</v>
      </c>
      <c r="DA188" s="228">
        <v>464240</v>
      </c>
      <c r="DB188" s="228">
        <v>560000</v>
      </c>
      <c r="DC188" s="228">
        <v>716800</v>
      </c>
      <c r="DD188" s="228">
        <v>798560</v>
      </c>
    </row>
    <row r="189" spans="1:108" ht="12.95" customHeight="1">
      <c r="C189" s="18"/>
      <c r="D189" t="s">
        <v>947</v>
      </c>
      <c r="I189" s="1405" t="s">
        <v>948</v>
      </c>
      <c r="J189" s="1335"/>
      <c r="K189" s="1335"/>
      <c r="L189" s="1335"/>
      <c r="M189" s="1335"/>
      <c r="N189" s="1335"/>
      <c r="O189" s="1335"/>
      <c r="P189" s="1335"/>
      <c r="Q189" t="s">
        <v>949</v>
      </c>
      <c r="T189" s="1335" t="s">
        <v>930</v>
      </c>
      <c r="U189" s="1335"/>
      <c r="V189" s="1335"/>
      <c r="W189" s="1335"/>
      <c r="X189" s="1335"/>
      <c r="Y189" s="1335"/>
      <c r="Z189" s="1335"/>
      <c r="AA189" s="1335"/>
      <c r="AB189" s="1335"/>
      <c r="AC189" s="1335"/>
      <c r="AD189" s="1335"/>
      <c r="AE189" s="1335"/>
      <c r="BC189" t="s">
        <v>472</v>
      </c>
      <c r="BH189" s="3" t="s">
        <v>826</v>
      </c>
      <c r="BN189" s="133" t="s">
        <v>950</v>
      </c>
      <c r="BS189">
        <v>5</v>
      </c>
      <c r="BT189" t="s">
        <v>951</v>
      </c>
      <c r="CB189" s="253" t="s">
        <v>942</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941</v>
      </c>
      <c r="CS189" s="226">
        <v>402065</v>
      </c>
      <c r="CT189" s="226">
        <v>463577</v>
      </c>
      <c r="CU189" s="226">
        <v>559200</v>
      </c>
      <c r="CV189" s="226">
        <v>715776</v>
      </c>
      <c r="CW189" s="226">
        <v>797419</v>
      </c>
      <c r="CX189" s="13"/>
      <c r="CY189" s="133" t="s">
        <v>941</v>
      </c>
      <c r="CZ189" s="226">
        <v>402065</v>
      </c>
      <c r="DA189" s="226">
        <v>463577</v>
      </c>
      <c r="DB189" s="226">
        <v>559200</v>
      </c>
      <c r="DC189" s="226">
        <v>715776</v>
      </c>
      <c r="DD189" s="226">
        <v>797419</v>
      </c>
    </row>
    <row r="190" spans="1:108" ht="12.95" customHeight="1">
      <c r="C190" s="18"/>
      <c r="D190" t="s">
        <v>952</v>
      </c>
      <c r="I190" s="1350">
        <v>93927</v>
      </c>
      <c r="J190" s="1350"/>
      <c r="K190" s="1350"/>
      <c r="L190" s="1350"/>
      <c r="M190" s="1350"/>
      <c r="N190" s="1350"/>
      <c r="O190" t="s">
        <v>953</v>
      </c>
      <c r="T190" s="1664">
        <v>112.02</v>
      </c>
      <c r="U190" s="1664"/>
      <c r="V190" s="1664"/>
      <c r="W190" s="1664"/>
      <c r="X190" s="1664"/>
      <c r="Y190" s="1664"/>
      <c r="Z190" s="1664"/>
      <c r="AA190" s="1664"/>
      <c r="AB190" s="1664"/>
      <c r="AC190" s="1664"/>
      <c r="AD190" s="1664"/>
      <c r="AE190" s="1664"/>
      <c r="BC190" t="s">
        <v>954</v>
      </c>
      <c r="BH190" t="s">
        <v>954</v>
      </c>
      <c r="BN190" s="133" t="s">
        <v>955</v>
      </c>
      <c r="BS190">
        <v>6</v>
      </c>
      <c r="BT190" t="s">
        <v>956</v>
      </c>
      <c r="CB190" s="253" t="s">
        <v>944</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943</v>
      </c>
      <c r="CS190" s="228">
        <v>360075</v>
      </c>
      <c r="CT190" s="228">
        <v>415163</v>
      </c>
      <c r="CU190" s="228">
        <v>500800</v>
      </c>
      <c r="CV190" s="228">
        <v>641024</v>
      </c>
      <c r="CW190" s="228">
        <v>714141</v>
      </c>
      <c r="CX190" s="13"/>
      <c r="CY190" s="133" t="s">
        <v>943</v>
      </c>
      <c r="CZ190" s="228">
        <v>360075</v>
      </c>
      <c r="DA190" s="228">
        <v>415163</v>
      </c>
      <c r="DB190" s="228">
        <v>500800</v>
      </c>
      <c r="DC190" s="228">
        <v>641024</v>
      </c>
      <c r="DD190" s="228">
        <v>714141</v>
      </c>
    </row>
    <row r="191" spans="1:108" ht="12.95" customHeight="1">
      <c r="C191" s="18"/>
      <c r="D191" t="s">
        <v>957</v>
      </c>
      <c r="N191" s="1674" t="s">
        <v>958</v>
      </c>
      <c r="O191" s="1674"/>
      <c r="P191" s="1674"/>
      <c r="Q191" s="1674"/>
      <c r="R191" s="1674"/>
      <c r="S191" s="1674"/>
      <c r="T191" s="1674"/>
      <c r="U191" s="1674"/>
      <c r="V191" s="1674"/>
      <c r="W191" s="1674"/>
      <c r="X191" s="1674"/>
      <c r="Y191" s="1674"/>
      <c r="Z191" s="1674"/>
      <c r="AA191" s="1674"/>
      <c r="AB191" s="1674"/>
      <c r="AC191" s="1674"/>
      <c r="AD191" s="1674"/>
      <c r="AE191" s="1674"/>
      <c r="BC191" t="s">
        <v>959</v>
      </c>
      <c r="BH191" t="s">
        <v>959</v>
      </c>
      <c r="BN191" s="133" t="s">
        <v>960</v>
      </c>
      <c r="BS191">
        <v>4</v>
      </c>
      <c r="BT191" t="s">
        <v>961</v>
      </c>
      <c r="CB191" s="253" t="s">
        <v>946</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945</v>
      </c>
      <c r="CS191" s="226">
        <v>402640</v>
      </c>
      <c r="CT191" s="226">
        <v>464240</v>
      </c>
      <c r="CU191" s="226">
        <v>560000</v>
      </c>
      <c r="CV191" s="226">
        <v>716800</v>
      </c>
      <c r="CW191" s="226">
        <v>798560</v>
      </c>
      <c r="CX191" s="13"/>
      <c r="CY191" s="133" t="s">
        <v>945</v>
      </c>
      <c r="CZ191" s="226">
        <v>402640</v>
      </c>
      <c r="DA191" s="226">
        <v>464240</v>
      </c>
      <c r="DB191" s="226">
        <v>560000</v>
      </c>
      <c r="DC191" s="226">
        <v>716800</v>
      </c>
      <c r="DD191" s="226">
        <v>798560</v>
      </c>
    </row>
    <row r="192" spans="1:108" ht="12.95" customHeight="1">
      <c r="C192" s="18"/>
      <c r="M192" s="32"/>
      <c r="N192" s="1628"/>
      <c r="O192" s="1628"/>
      <c r="P192" s="1628"/>
      <c r="Q192" s="1628"/>
      <c r="R192" s="1628"/>
      <c r="S192" s="1628"/>
      <c r="T192" s="1628"/>
      <c r="U192" s="1628"/>
      <c r="V192" s="1628"/>
      <c r="W192" s="1628"/>
      <c r="X192" s="1628"/>
      <c r="Y192" s="1628"/>
      <c r="Z192" s="1628"/>
      <c r="AA192" s="1628"/>
      <c r="AB192" s="1628"/>
      <c r="AC192" s="1628"/>
      <c r="AD192" s="1628"/>
      <c r="AE192" s="1628"/>
      <c r="BC192" t="s">
        <v>962</v>
      </c>
      <c r="BH192" s="3" t="s">
        <v>963</v>
      </c>
      <c r="BN192" s="133" t="s">
        <v>964</v>
      </c>
      <c r="BS192">
        <v>5</v>
      </c>
      <c r="BT192" t="s">
        <v>965</v>
      </c>
      <c r="CB192" s="253" t="s">
        <v>951</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950</v>
      </c>
      <c r="CS192" s="228">
        <v>381933</v>
      </c>
      <c r="CT192" s="228">
        <v>440365</v>
      </c>
      <c r="CU192" s="228">
        <v>531200</v>
      </c>
      <c r="CV192" s="228">
        <v>679936</v>
      </c>
      <c r="CW192" s="228">
        <v>757491</v>
      </c>
      <c r="CX192" s="13"/>
      <c r="CY192" s="133" t="s">
        <v>950</v>
      </c>
      <c r="CZ192" s="228">
        <v>381933</v>
      </c>
      <c r="DA192" s="228">
        <v>440365</v>
      </c>
      <c r="DB192" s="228">
        <v>531200</v>
      </c>
      <c r="DC192" s="228">
        <v>679936</v>
      </c>
      <c r="DD192" s="228">
        <v>757491</v>
      </c>
    </row>
    <row r="193" spans="1:108" ht="12.95" customHeight="1">
      <c r="C193" s="18"/>
      <c r="D193" t="s">
        <v>966</v>
      </c>
      <c r="M193" s="32"/>
      <c r="N193" s="786"/>
      <c r="O193" s="786"/>
      <c r="P193" s="786"/>
      <c r="Q193" s="786"/>
      <c r="R193" s="786"/>
      <c r="S193" s="786"/>
      <c r="T193" s="1667" t="s">
        <v>911</v>
      </c>
      <c r="U193" s="1667"/>
      <c r="V193" s="1667"/>
      <c r="W193" s="1667"/>
      <c r="X193" s="1667"/>
      <c r="Y193" s="1667"/>
      <c r="Z193" s="1667"/>
      <c r="AA193" s="1667"/>
      <c r="AB193" s="1667"/>
      <c r="AC193" s="1667"/>
      <c r="AD193" s="1667"/>
      <c r="AE193" s="1667"/>
      <c r="AF193" s="1667"/>
      <c r="AG193" s="1667"/>
      <c r="AH193" s="1667"/>
      <c r="AI193" s="1667"/>
      <c r="BC193" t="s">
        <v>967</v>
      </c>
      <c r="BH193" s="3" t="s">
        <v>968</v>
      </c>
      <c r="BN193" s="133" t="s">
        <v>969</v>
      </c>
      <c r="BS193">
        <v>4</v>
      </c>
      <c r="BT193" t="s">
        <v>970</v>
      </c>
      <c r="CB193" s="253" t="s">
        <v>956</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955</v>
      </c>
      <c r="CS193" s="226">
        <v>360075</v>
      </c>
      <c r="CT193" s="226">
        <v>415163</v>
      </c>
      <c r="CU193" s="226">
        <v>500800</v>
      </c>
      <c r="CV193" s="226">
        <v>641024</v>
      </c>
      <c r="CW193" s="226">
        <v>714141</v>
      </c>
      <c r="CX193" s="13"/>
      <c r="CY193" s="133" t="s">
        <v>955</v>
      </c>
      <c r="CZ193" s="226">
        <v>360075</v>
      </c>
      <c r="DA193" s="226">
        <v>415163</v>
      </c>
      <c r="DB193" s="226">
        <v>500800</v>
      </c>
      <c r="DC193" s="226">
        <v>641024</v>
      </c>
      <c r="DD193" s="226">
        <v>714141</v>
      </c>
    </row>
    <row r="194" spans="1:108" ht="12.95" customHeight="1">
      <c r="C194" s="18"/>
      <c r="D194" s="3" t="s">
        <v>971</v>
      </c>
      <c r="M194" s="32"/>
      <c r="N194" s="786"/>
      <c r="O194" s="786"/>
      <c r="P194" s="786"/>
      <c r="Q194" s="786"/>
      <c r="R194" s="786"/>
      <c r="S194" s="786"/>
      <c r="AH194" s="1229" t="s">
        <v>701</v>
      </c>
      <c r="AI194" s="1229"/>
      <c r="BC194" t="s">
        <v>963</v>
      </c>
      <c r="BN194" s="133" t="s">
        <v>972</v>
      </c>
      <c r="BS194">
        <v>2</v>
      </c>
      <c r="BT194" t="s">
        <v>973</v>
      </c>
      <c r="CB194" s="253" t="s">
        <v>961</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960</v>
      </c>
      <c r="CS194" s="228">
        <v>402640</v>
      </c>
      <c r="CT194" s="228">
        <v>464240</v>
      </c>
      <c r="CU194" s="228">
        <v>560000</v>
      </c>
      <c r="CV194" s="228">
        <v>716800</v>
      </c>
      <c r="CW194" s="228">
        <v>798560</v>
      </c>
      <c r="CX194" s="13"/>
      <c r="CY194" s="133" t="s">
        <v>960</v>
      </c>
      <c r="CZ194" s="228">
        <v>402640</v>
      </c>
      <c r="DA194" s="228">
        <v>464240</v>
      </c>
      <c r="DB194" s="228">
        <v>560000</v>
      </c>
      <c r="DC194" s="228">
        <v>716800</v>
      </c>
      <c r="DD194" s="228">
        <v>798560</v>
      </c>
    </row>
    <row r="195" spans="1:108" ht="12.95" customHeight="1">
      <c r="C195" s="18"/>
      <c r="D195" t="s">
        <v>974</v>
      </c>
      <c r="T195" s="1229" t="s">
        <v>862</v>
      </c>
      <c r="U195" s="1229"/>
      <c r="W195" t="s">
        <v>975</v>
      </c>
      <c r="AH195" s="1229">
        <v>18</v>
      </c>
      <c r="AI195" s="1229"/>
      <c r="BC195" t="s">
        <v>976</v>
      </c>
      <c r="BN195" s="133" t="s">
        <v>977</v>
      </c>
      <c r="BS195">
        <v>6</v>
      </c>
      <c r="BT195" t="s">
        <v>978</v>
      </c>
      <c r="CB195" s="253" t="s">
        <v>965</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964</v>
      </c>
      <c r="CS195" s="226">
        <v>381933</v>
      </c>
      <c r="CT195" s="226">
        <v>440365</v>
      </c>
      <c r="CU195" s="226">
        <v>531200</v>
      </c>
      <c r="CV195" s="226">
        <v>679936</v>
      </c>
      <c r="CW195" s="226">
        <v>757491</v>
      </c>
      <c r="CX195" s="13"/>
      <c r="CY195" s="133" t="s">
        <v>964</v>
      </c>
      <c r="CZ195" s="226">
        <v>381933</v>
      </c>
      <c r="DA195" s="226">
        <v>440365</v>
      </c>
      <c r="DB195" s="226">
        <v>531200</v>
      </c>
      <c r="DC195" s="226">
        <v>679936</v>
      </c>
      <c r="DD195" s="226">
        <v>757491</v>
      </c>
    </row>
    <row r="196" spans="1:108" ht="12.95" customHeight="1">
      <c r="C196" s="18"/>
      <c r="D196" t="s">
        <v>979</v>
      </c>
      <c r="T196" s="1268" t="s">
        <v>701</v>
      </c>
      <c r="U196" s="1268"/>
      <c r="W196" t="s">
        <v>980</v>
      </c>
      <c r="AH196" s="1229">
        <v>29</v>
      </c>
      <c r="AI196" s="1229"/>
      <c r="BN196" s="133" t="s">
        <v>981</v>
      </c>
      <c r="BS196">
        <v>4</v>
      </c>
      <c r="BT196" t="s">
        <v>982</v>
      </c>
      <c r="CB196" s="253" t="s">
        <v>970</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969</v>
      </c>
      <c r="CS196" s="228">
        <v>392286</v>
      </c>
      <c r="CT196" s="228">
        <v>452302</v>
      </c>
      <c r="CU196" s="228">
        <v>545600</v>
      </c>
      <c r="CV196" s="228">
        <v>698368</v>
      </c>
      <c r="CW196" s="228">
        <v>778026</v>
      </c>
      <c r="CX196" s="13"/>
      <c r="CY196" s="133" t="s">
        <v>969</v>
      </c>
      <c r="CZ196" s="228">
        <v>392286</v>
      </c>
      <c r="DA196" s="228">
        <v>452302</v>
      </c>
      <c r="DB196" s="228">
        <v>545600</v>
      </c>
      <c r="DC196" s="228">
        <v>698368</v>
      </c>
      <c r="DD196" s="228">
        <v>778026</v>
      </c>
    </row>
    <row r="197" spans="1:108" ht="12.95" customHeight="1">
      <c r="C197" s="18"/>
      <c r="D197" s="3" t="s">
        <v>983</v>
      </c>
      <c r="T197" s="1268" t="s">
        <v>701</v>
      </c>
      <c r="U197" s="1268"/>
      <c r="W197" t="s">
        <v>984</v>
      </c>
      <c r="AH197" s="1229">
        <v>14</v>
      </c>
      <c r="AI197" s="1229"/>
      <c r="BC197" t="s">
        <v>472</v>
      </c>
      <c r="BN197" s="133" t="s">
        <v>985</v>
      </c>
      <c r="BS197">
        <v>2</v>
      </c>
      <c r="BT197" t="s">
        <v>986</v>
      </c>
      <c r="CB197" s="253" t="s">
        <v>973</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972</v>
      </c>
      <c r="CS197" s="226">
        <v>694266</v>
      </c>
      <c r="CT197" s="226">
        <v>800482</v>
      </c>
      <c r="CU197" s="226">
        <v>965600</v>
      </c>
      <c r="CV197" s="226">
        <v>1235968</v>
      </c>
      <c r="CW197" s="226">
        <v>1376946</v>
      </c>
      <c r="CX197" s="13"/>
      <c r="CY197" s="133" t="s">
        <v>972</v>
      </c>
      <c r="CZ197" s="226">
        <v>694266</v>
      </c>
      <c r="DA197" s="226">
        <v>800482</v>
      </c>
      <c r="DB197" s="226">
        <v>965600</v>
      </c>
      <c r="DC197" s="226">
        <v>1235968</v>
      </c>
      <c r="DD197" s="226">
        <v>1376946</v>
      </c>
    </row>
    <row r="198" spans="1:108" s="13" customFormat="1" ht="12.95" customHeight="1">
      <c r="A198"/>
      <c r="B198"/>
      <c r="C198" s="18"/>
      <c r="D198" s="3" t="s">
        <v>987</v>
      </c>
      <c r="E198"/>
      <c r="F198"/>
      <c r="G198"/>
      <c r="H198"/>
      <c r="I198"/>
      <c r="J198"/>
      <c r="K198"/>
      <c r="L198"/>
      <c r="M198"/>
      <c r="N198"/>
      <c r="O198"/>
      <c r="P198"/>
      <c r="Q198"/>
      <c r="R198"/>
      <c r="S198"/>
      <c r="T198" s="1268"/>
      <c r="U198" s="1268"/>
      <c r="V198"/>
      <c r="X198" s="1402" t="s">
        <v>988</v>
      </c>
      <c r="Y198" s="1402"/>
      <c r="Z198" s="1402"/>
      <c r="AA198" s="1402"/>
      <c r="AB198" s="1402"/>
      <c r="AC198" s="1402"/>
      <c r="AD198" s="1402"/>
      <c r="AE198" s="1402"/>
      <c r="AF198" s="1402"/>
      <c r="AG198" s="1402"/>
      <c r="AH198" s="1402"/>
      <c r="AI198" s="1402"/>
      <c r="AJ198" s="1402"/>
      <c r="AK198" s="1402"/>
      <c r="AL198" s="1402"/>
      <c r="AM198" s="1402"/>
      <c r="AN198" s="1402"/>
      <c r="AO198" s="1402"/>
      <c r="AP198" s="1402"/>
      <c r="AQ198" s="1402"/>
      <c r="AR198" s="1402"/>
      <c r="AS198" s="1402"/>
      <c r="AT198" s="1402"/>
      <c r="AU198"/>
      <c r="AV198"/>
      <c r="AW198"/>
      <c r="AX198"/>
      <c r="AY198"/>
      <c r="AZ198" s="25"/>
      <c r="BA198" s="25"/>
      <c r="BC198" s="13" t="s">
        <v>826</v>
      </c>
      <c r="BD198"/>
      <c r="BN198" s="133" t="s">
        <v>989</v>
      </c>
      <c r="BO198"/>
      <c r="BP198"/>
      <c r="BQ198"/>
      <c r="BR198"/>
      <c r="BS198">
        <v>4</v>
      </c>
      <c r="BT198" t="s">
        <v>990</v>
      </c>
      <c r="BU198"/>
      <c r="BV198" s="26"/>
      <c r="CB198" s="253" t="s">
        <v>978</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977</v>
      </c>
      <c r="CS198" s="228">
        <v>323262</v>
      </c>
      <c r="CT198" s="228">
        <v>372718</v>
      </c>
      <c r="CU198" s="228">
        <v>449600</v>
      </c>
      <c r="CV198" s="228">
        <v>575488</v>
      </c>
      <c r="CW198" s="228">
        <v>641130</v>
      </c>
      <c r="CY198" s="133" t="s">
        <v>977</v>
      </c>
      <c r="CZ198" s="228">
        <v>323262</v>
      </c>
      <c r="DA198" s="228">
        <v>372718</v>
      </c>
      <c r="DB198" s="228">
        <v>449600</v>
      </c>
      <c r="DC198" s="228">
        <v>575488</v>
      </c>
      <c r="DD198" s="228">
        <v>641130</v>
      </c>
    </row>
    <row r="199" spans="1:108" s="13" customFormat="1" ht="12.95" customHeight="1">
      <c r="A199"/>
      <c r="B199"/>
      <c r="C199" s="18"/>
      <c r="D199" s="84" t="s">
        <v>991</v>
      </c>
      <c r="E199"/>
      <c r="F199"/>
      <c r="G199"/>
      <c r="H199"/>
      <c r="I199"/>
      <c r="J199"/>
      <c r="K199"/>
      <c r="L199"/>
      <c r="M199"/>
      <c r="N199"/>
      <c r="O199"/>
      <c r="P199"/>
      <c r="Q199"/>
      <c r="R199"/>
      <c r="S199"/>
      <c r="T199" s="1229" t="s">
        <v>862</v>
      </c>
      <c r="U199" s="1229"/>
      <c r="V199"/>
      <c r="W199"/>
      <c r="X199" s="1402"/>
      <c r="Y199" s="1402"/>
      <c r="Z199" s="1402"/>
      <c r="AA199" s="1402"/>
      <c r="AB199" s="1402"/>
      <c r="AC199" s="1402"/>
      <c r="AD199" s="1402"/>
      <c r="AE199" s="1402"/>
      <c r="AF199" s="1402"/>
      <c r="AG199" s="1402"/>
      <c r="AH199" s="1402"/>
      <c r="AI199" s="1402"/>
      <c r="AJ199" s="1402"/>
      <c r="AK199" s="1402"/>
      <c r="AL199" s="1402"/>
      <c r="AM199" s="1402"/>
      <c r="AN199" s="1402"/>
      <c r="AO199" s="1402"/>
      <c r="AP199" s="1402"/>
      <c r="AQ199" s="1402"/>
      <c r="AR199" s="1402"/>
      <c r="AS199" s="1402"/>
      <c r="AT199" s="1402"/>
      <c r="AU199"/>
      <c r="AV199"/>
      <c r="AW199"/>
      <c r="AX199"/>
      <c r="AY199"/>
      <c r="AZ199" s="25"/>
      <c r="BA199" s="25"/>
      <c r="BC199" t="s">
        <v>814</v>
      </c>
      <c r="BD199"/>
      <c r="BN199" s="133" t="s">
        <v>992</v>
      </c>
      <c r="BO199"/>
      <c r="BP199"/>
      <c r="BQ199"/>
      <c r="BR199"/>
      <c r="BS199">
        <v>2</v>
      </c>
      <c r="BT199" s="27" t="s">
        <v>993</v>
      </c>
      <c r="BU199"/>
      <c r="BV199" s="26"/>
      <c r="CB199" s="253" t="s">
        <v>982</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981</v>
      </c>
      <c r="CS199" s="226">
        <v>442904</v>
      </c>
      <c r="CT199" s="226">
        <v>510664</v>
      </c>
      <c r="CU199" s="226">
        <v>616000</v>
      </c>
      <c r="CV199" s="226">
        <v>788480</v>
      </c>
      <c r="CW199" s="226">
        <v>878416</v>
      </c>
      <c r="CY199" s="133" t="s">
        <v>981</v>
      </c>
      <c r="CZ199" s="226">
        <v>442904</v>
      </c>
      <c r="DA199" s="226">
        <v>510664</v>
      </c>
      <c r="DB199" s="226">
        <v>616000</v>
      </c>
      <c r="DC199" s="226">
        <v>788480</v>
      </c>
      <c r="DD199" s="226">
        <v>878416</v>
      </c>
    </row>
    <row r="200" spans="1:108" s="13" customFormat="1" ht="12.95" customHeight="1">
      <c r="A200"/>
      <c r="B200"/>
      <c r="C200" s="18"/>
      <c r="D200" s="13" t="s">
        <v>994</v>
      </c>
      <c r="T200" s="1229"/>
      <c r="U200" s="1229"/>
      <c r="V200"/>
      <c r="W200"/>
      <c r="X200"/>
      <c r="Y200"/>
      <c r="AA200"/>
      <c r="AB200" s="1073" t="s">
        <v>995</v>
      </c>
      <c r="AC200"/>
      <c r="AF200"/>
      <c r="AG200"/>
      <c r="AH200" s="1"/>
      <c r="AJ200"/>
      <c r="AK200"/>
      <c r="AL200"/>
      <c r="AM200"/>
      <c r="AN200"/>
      <c r="AO200"/>
      <c r="AP200"/>
      <c r="AQ200"/>
      <c r="AR200"/>
      <c r="AS200"/>
      <c r="AU200"/>
      <c r="AV200"/>
      <c r="AW200"/>
      <c r="AX200"/>
      <c r="AY200"/>
      <c r="AZ200" s="25"/>
      <c r="BA200" s="25"/>
      <c r="BC200" s="3" t="s">
        <v>996</v>
      </c>
      <c r="BD200" s="339"/>
      <c r="BN200" s="133" t="s">
        <v>997</v>
      </c>
      <c r="BO200"/>
      <c r="BP200"/>
      <c r="BQ200"/>
      <c r="BR200"/>
      <c r="BS200">
        <v>2</v>
      </c>
      <c r="BT200" s="27" t="s">
        <v>998</v>
      </c>
      <c r="BU200"/>
      <c r="CB200" s="253" t="s">
        <v>986</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985</v>
      </c>
      <c r="CS200" s="227">
        <v>532060</v>
      </c>
      <c r="CT200" s="227">
        <v>613460</v>
      </c>
      <c r="CU200" s="228">
        <v>740000</v>
      </c>
      <c r="CV200" s="227">
        <v>947200</v>
      </c>
      <c r="CW200" s="227">
        <v>1055240</v>
      </c>
      <c r="CY200" s="133" t="s">
        <v>985</v>
      </c>
      <c r="CZ200" s="227">
        <v>532060</v>
      </c>
      <c r="DA200" s="227">
        <v>613460</v>
      </c>
      <c r="DB200" s="227">
        <v>740000</v>
      </c>
      <c r="DC200" s="227">
        <v>947200</v>
      </c>
      <c r="DD200" s="227">
        <v>1055240</v>
      </c>
    </row>
    <row r="201" spans="1:108" s="13" customFormat="1" ht="12.95" customHeight="1">
      <c r="A201"/>
      <c r="B201"/>
      <c r="C201" s="18"/>
      <c r="E201" s="3" t="s">
        <v>999</v>
      </c>
      <c r="V201"/>
      <c r="X201"/>
      <c r="Y201"/>
      <c r="Z201"/>
      <c r="AB201" s="1073" t="s">
        <v>1000</v>
      </c>
      <c r="AC201"/>
      <c r="AH201" s="1"/>
      <c r="AJ201"/>
      <c r="AK201"/>
      <c r="AL201"/>
      <c r="AM201"/>
      <c r="AN201"/>
      <c r="AO201"/>
      <c r="AP201"/>
      <c r="AQ201"/>
      <c r="AR201"/>
      <c r="AS201"/>
      <c r="AU201"/>
      <c r="AV201"/>
      <c r="AW201"/>
      <c r="AX201"/>
      <c r="AY201"/>
      <c r="AZ201" s="25"/>
      <c r="BA201" s="25"/>
      <c r="BC201" s="3" t="s">
        <v>1001</v>
      </c>
      <c r="BD201" s="339"/>
      <c r="BN201" s="133" t="s">
        <v>1002</v>
      </c>
      <c r="BO201" s="26"/>
      <c r="BP201" s="27"/>
      <c r="BQ201" s="27"/>
      <c r="BR201" s="27"/>
      <c r="BS201">
        <v>6</v>
      </c>
      <c r="BT201" s="27" t="s">
        <v>1003</v>
      </c>
      <c r="BU201"/>
      <c r="CB201" s="253" t="s">
        <v>990</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989</v>
      </c>
      <c r="CS201" s="226">
        <v>442904</v>
      </c>
      <c r="CT201" s="226">
        <v>510664</v>
      </c>
      <c r="CU201" s="226">
        <v>616000</v>
      </c>
      <c r="CV201" s="226">
        <v>788480</v>
      </c>
      <c r="CW201" s="226">
        <v>878416</v>
      </c>
      <c r="CY201" s="133" t="s">
        <v>989</v>
      </c>
      <c r="CZ201" s="226">
        <v>442904</v>
      </c>
      <c r="DA201" s="226">
        <v>510664</v>
      </c>
      <c r="DB201" s="226">
        <v>616000</v>
      </c>
      <c r="DC201" s="226">
        <v>788480</v>
      </c>
      <c r="DD201" s="226">
        <v>878416</v>
      </c>
    </row>
    <row r="202" spans="1:108" ht="12.95" customHeight="1">
      <c r="C202" s="18"/>
      <c r="AE202" s="7"/>
      <c r="BC202" t="s">
        <v>1004</v>
      </c>
      <c r="BD202" s="339"/>
      <c r="BN202" s="133" t="s">
        <v>1005</v>
      </c>
      <c r="BO202" s="13"/>
      <c r="BP202" s="27"/>
      <c r="BQ202" s="27"/>
      <c r="BR202" s="27"/>
      <c r="BS202">
        <v>7</v>
      </c>
      <c r="BT202" s="27" t="s">
        <v>1006</v>
      </c>
      <c r="CB202" s="253" t="s">
        <v>993</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992</v>
      </c>
      <c r="CS202" s="227">
        <v>532060</v>
      </c>
      <c r="CT202" s="227">
        <v>613460</v>
      </c>
      <c r="CU202" s="227">
        <v>740000</v>
      </c>
      <c r="CV202" s="227">
        <v>947200</v>
      </c>
      <c r="CW202" s="227">
        <v>1055240</v>
      </c>
      <c r="CX202" s="13"/>
      <c r="CY202" s="133" t="s">
        <v>992</v>
      </c>
      <c r="CZ202" s="227">
        <v>532060</v>
      </c>
      <c r="DA202" s="227">
        <v>613460</v>
      </c>
      <c r="DB202" s="227">
        <v>740000</v>
      </c>
      <c r="DC202" s="227">
        <v>947200</v>
      </c>
      <c r="DD202" s="227">
        <v>1055240</v>
      </c>
    </row>
    <row r="203" spans="1:108" ht="12.95" customHeight="1">
      <c r="A203" s="2" t="s">
        <v>1007</v>
      </c>
      <c r="C203" s="2" t="s">
        <v>1008</v>
      </c>
      <c r="BC203" t="s">
        <v>1009</v>
      </c>
      <c r="BN203" s="133" t="s">
        <v>1010</v>
      </c>
      <c r="BO203" s="13"/>
      <c r="BP203" s="27"/>
      <c r="BQ203" s="27"/>
      <c r="BR203" s="27"/>
      <c r="BS203">
        <v>7</v>
      </c>
      <c r="BT203" s="27" t="s">
        <v>1011</v>
      </c>
      <c r="CB203" s="253" t="s">
        <v>998</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997</v>
      </c>
      <c r="CS203" s="226">
        <v>442904</v>
      </c>
      <c r="CT203" s="226">
        <v>510664</v>
      </c>
      <c r="CU203" s="226">
        <v>616000</v>
      </c>
      <c r="CV203" s="226">
        <v>788480</v>
      </c>
      <c r="CW203" s="226">
        <v>878416</v>
      </c>
      <c r="CX203" s="13"/>
      <c r="CY203" s="133" t="s">
        <v>997</v>
      </c>
      <c r="CZ203" s="226">
        <v>442904</v>
      </c>
      <c r="DA203" s="226">
        <v>510664</v>
      </c>
      <c r="DB203" s="226">
        <v>616000</v>
      </c>
      <c r="DC203" s="226">
        <v>788480</v>
      </c>
      <c r="DD203" s="226">
        <v>878416</v>
      </c>
    </row>
    <row r="204" spans="1:108" ht="12.95" customHeight="1">
      <c r="D204" s="1349" t="s">
        <v>1012</v>
      </c>
      <c r="E204" s="1349"/>
      <c r="F204" s="1349"/>
      <c r="G204" s="1349"/>
      <c r="H204" s="1349"/>
      <c r="I204" s="1349"/>
      <c r="J204" s="1349"/>
      <c r="K204" s="1349"/>
      <c r="L204" s="1349"/>
      <c r="M204" s="1349"/>
      <c r="P204" s="1406">
        <f>M26</f>
        <v>3901992</v>
      </c>
      <c r="Q204" s="1656"/>
      <c r="R204" s="1656"/>
      <c r="S204" s="1656"/>
      <c r="T204" s="1656"/>
      <c r="U204" s="1656"/>
      <c r="BC204" t="s">
        <v>1013</v>
      </c>
      <c r="BN204" s="133" t="s">
        <v>1014</v>
      </c>
      <c r="BS204">
        <v>6</v>
      </c>
      <c r="BT204" s="27" t="s">
        <v>1015</v>
      </c>
      <c r="BU204" s="13"/>
      <c r="CB204" s="253" t="s">
        <v>1003</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1002</v>
      </c>
      <c r="CS204" s="228">
        <v>369278</v>
      </c>
      <c r="CT204" s="228">
        <v>425774</v>
      </c>
      <c r="CU204" s="228">
        <v>513600</v>
      </c>
      <c r="CV204" s="228">
        <v>657408</v>
      </c>
      <c r="CW204" s="228">
        <v>732394</v>
      </c>
      <c r="CX204" s="13"/>
      <c r="CY204" s="133" t="s">
        <v>1002</v>
      </c>
      <c r="CZ204" s="228">
        <v>369278</v>
      </c>
      <c r="DA204" s="228">
        <v>425774</v>
      </c>
      <c r="DB204" s="228">
        <v>513600</v>
      </c>
      <c r="DC204" s="228">
        <v>657408</v>
      </c>
      <c r="DD204" s="228">
        <v>732394</v>
      </c>
    </row>
    <row r="205" spans="1:108" ht="12.95" customHeight="1">
      <c r="C205" s="18"/>
      <c r="D205" s="1654" t="s">
        <v>1016</v>
      </c>
      <c r="E205" s="1349"/>
      <c r="F205" s="1349"/>
      <c r="G205" s="1349"/>
      <c r="H205" s="1349"/>
      <c r="I205" s="1349"/>
      <c r="J205" s="1349"/>
      <c r="K205" s="1349"/>
      <c r="L205" s="1349"/>
      <c r="M205" s="1349"/>
      <c r="P205" s="1656">
        <f>M27</f>
        <v>16954253</v>
      </c>
      <c r="Q205" s="1656"/>
      <c r="R205" s="1656"/>
      <c r="S205" s="1656"/>
      <c r="T205" s="1656"/>
      <c r="U205" s="1656"/>
      <c r="V205" s="19"/>
      <c r="W205" s="3" t="s">
        <v>1017</v>
      </c>
      <c r="Z205" s="1679" t="s">
        <v>1018</v>
      </c>
      <c r="AA205" s="1679"/>
      <c r="AB205" s="1679"/>
      <c r="AC205" s="1679"/>
      <c r="AD205" s="1679"/>
      <c r="AE205" s="1679"/>
      <c r="AF205" s="1679"/>
      <c r="AG205" s="1679"/>
      <c r="AH205" s="1679"/>
      <c r="AI205" s="1679"/>
      <c r="AJ205" s="1679"/>
      <c r="AK205" s="1679"/>
      <c r="AL205" s="1679"/>
      <c r="AM205" s="1679"/>
      <c r="AN205" s="1679"/>
      <c r="AP205" s="1232"/>
      <c r="AQ205" s="1232"/>
      <c r="BC205" t="s">
        <v>1019</v>
      </c>
      <c r="BN205" s="133" t="s">
        <v>1020</v>
      </c>
      <c r="BS205">
        <v>4</v>
      </c>
      <c r="BT205" s="27" t="s">
        <v>1021</v>
      </c>
      <c r="BU205" s="13"/>
      <c r="CB205" s="253" t="s">
        <v>1006</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1005</v>
      </c>
      <c r="CS205" s="226">
        <v>402640</v>
      </c>
      <c r="CT205" s="226">
        <v>464240</v>
      </c>
      <c r="CU205" s="226">
        <v>560000</v>
      </c>
      <c r="CV205" s="226">
        <v>716800</v>
      </c>
      <c r="CW205" s="226">
        <v>798560</v>
      </c>
      <c r="CX205" s="13"/>
      <c r="CY205" s="133" t="s">
        <v>1005</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1022</v>
      </c>
      <c r="BN206" s="133" t="s">
        <v>1023</v>
      </c>
      <c r="BS206">
        <v>5</v>
      </c>
      <c r="BT206" s="27" t="s">
        <v>1024</v>
      </c>
      <c r="BU206" s="13"/>
      <c r="CB206" s="253" t="s">
        <v>1011</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1010</v>
      </c>
      <c r="CS206" s="228">
        <v>402640</v>
      </c>
      <c r="CT206" s="228">
        <v>464240</v>
      </c>
      <c r="CU206" s="228">
        <v>560000</v>
      </c>
      <c r="CV206" s="228">
        <v>716800</v>
      </c>
      <c r="CW206" s="228">
        <v>798560</v>
      </c>
      <c r="CX206" s="13"/>
      <c r="CY206" s="133" t="s">
        <v>1010</v>
      </c>
      <c r="CZ206" s="228">
        <v>402640</v>
      </c>
      <c r="DA206" s="228">
        <v>464240</v>
      </c>
      <c r="DB206" s="228">
        <v>560000</v>
      </c>
      <c r="DC206" s="228">
        <v>716800</v>
      </c>
      <c r="DD206" s="228">
        <v>798560</v>
      </c>
    </row>
    <row r="207" spans="1:108" ht="12.95" customHeight="1">
      <c r="A207" s="2" t="s">
        <v>1025</v>
      </c>
      <c r="C207" s="2" t="s">
        <v>1026</v>
      </c>
      <c r="BC207" s="340" t="s">
        <v>1027</v>
      </c>
      <c r="BN207" s="133" t="s">
        <v>1028</v>
      </c>
      <c r="BS207">
        <v>6</v>
      </c>
      <c r="BT207" s="27" t="s">
        <v>1029</v>
      </c>
      <c r="CB207" s="253" t="s">
        <v>1015</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1014</v>
      </c>
      <c r="CS207" s="226">
        <v>406666</v>
      </c>
      <c r="CT207" s="226">
        <v>468882</v>
      </c>
      <c r="CU207" s="226">
        <v>565600</v>
      </c>
      <c r="CV207" s="226">
        <v>723968</v>
      </c>
      <c r="CW207" s="226">
        <v>806546</v>
      </c>
      <c r="CX207" s="13"/>
      <c r="CY207" s="133" t="s">
        <v>1014</v>
      </c>
      <c r="CZ207" s="226">
        <v>406666</v>
      </c>
      <c r="DA207" s="226">
        <v>468882</v>
      </c>
      <c r="DB207" s="226">
        <v>565600</v>
      </c>
      <c r="DC207" s="226">
        <v>723968</v>
      </c>
      <c r="DD207" s="226">
        <v>806546</v>
      </c>
    </row>
    <row r="208" spans="1:108" ht="12.95" customHeight="1">
      <c r="C208" s="18"/>
      <c r="D208" s="1405" t="s">
        <v>1030</v>
      </c>
      <c r="E208" s="1405"/>
      <c r="F208" s="1405"/>
      <c r="G208" s="1405"/>
      <c r="H208" s="1405"/>
      <c r="I208" s="1405"/>
      <c r="J208" s="1405"/>
      <c r="K208" s="1405"/>
      <c r="L208" s="1405"/>
      <c r="M208" s="1405"/>
      <c r="BC208" s="3" t="s">
        <v>1031</v>
      </c>
      <c r="BN208" s="133" t="s">
        <v>1032</v>
      </c>
      <c r="BS208">
        <v>7</v>
      </c>
      <c r="BT208" s="27" t="s">
        <v>1033</v>
      </c>
      <c r="CB208" s="253" t="s">
        <v>1021</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1020</v>
      </c>
      <c r="CS208" s="228">
        <v>406666</v>
      </c>
      <c r="CT208" s="228">
        <v>468882</v>
      </c>
      <c r="CU208" s="228">
        <v>565600</v>
      </c>
      <c r="CV208" s="228">
        <v>723968</v>
      </c>
      <c r="CW208" s="228">
        <v>806546</v>
      </c>
      <c r="CX208" s="13"/>
      <c r="CY208" s="133" t="s">
        <v>1020</v>
      </c>
      <c r="CZ208" s="228">
        <v>406666</v>
      </c>
      <c r="DA208" s="228">
        <v>468882</v>
      </c>
      <c r="DB208" s="228">
        <v>565600</v>
      </c>
      <c r="DC208" s="228">
        <v>723968</v>
      </c>
      <c r="DD208" s="228">
        <v>806546</v>
      </c>
    </row>
    <row r="209" spans="1:108" ht="12.95" customHeight="1">
      <c r="BC209" t="s">
        <v>1034</v>
      </c>
      <c r="BN209" s="133" t="s">
        <v>1035</v>
      </c>
      <c r="BS209">
        <v>7</v>
      </c>
      <c r="BT209" s="27" t="s">
        <v>1036</v>
      </c>
      <c r="CB209" s="253" t="s">
        <v>1024</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1023</v>
      </c>
      <c r="CS209" s="226">
        <v>323262</v>
      </c>
      <c r="CT209" s="226">
        <v>372718</v>
      </c>
      <c r="CU209" s="226">
        <v>449600</v>
      </c>
      <c r="CV209" s="226">
        <v>575488</v>
      </c>
      <c r="CW209" s="226">
        <v>641130</v>
      </c>
      <c r="CX209" s="13"/>
      <c r="CY209" s="133" t="s">
        <v>1023</v>
      </c>
      <c r="CZ209" s="226">
        <v>323262</v>
      </c>
      <c r="DA209" s="226">
        <v>372718</v>
      </c>
      <c r="DB209" s="226">
        <v>449600</v>
      </c>
      <c r="DC209" s="226">
        <v>575488</v>
      </c>
      <c r="DD209" s="226">
        <v>641130</v>
      </c>
    </row>
    <row r="210" spans="1:108" ht="12.95" customHeight="1">
      <c r="A210" s="2" t="s">
        <v>1037</v>
      </c>
      <c r="C210" s="2" t="s">
        <v>1038</v>
      </c>
      <c r="BC210" t="s">
        <v>1039</v>
      </c>
      <c r="BN210" s="133" t="s">
        <v>1040</v>
      </c>
      <c r="BS210">
        <v>5</v>
      </c>
      <c r="BT210" s="27" t="s">
        <v>1041</v>
      </c>
      <c r="CB210" s="253" t="s">
        <v>1029</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1028</v>
      </c>
      <c r="CS210" s="228">
        <v>360075</v>
      </c>
      <c r="CT210" s="228">
        <v>415163</v>
      </c>
      <c r="CU210" s="228">
        <v>500800</v>
      </c>
      <c r="CV210" s="228">
        <v>641024</v>
      </c>
      <c r="CW210" s="228">
        <v>714141</v>
      </c>
      <c r="CX210" s="13"/>
      <c r="CY210" s="133" t="s">
        <v>1028</v>
      </c>
      <c r="CZ210" s="228">
        <v>360075</v>
      </c>
      <c r="DA210" s="228">
        <v>415163</v>
      </c>
      <c r="DB210" s="228">
        <v>500800</v>
      </c>
      <c r="DC210" s="228">
        <v>641024</v>
      </c>
      <c r="DD210" s="228">
        <v>714141</v>
      </c>
    </row>
    <row r="211" spans="1:108" ht="12.95" customHeight="1">
      <c r="C211" s="18"/>
      <c r="D211" s="1405" t="s">
        <v>954</v>
      </c>
      <c r="E211" s="1405"/>
      <c r="F211" s="1405"/>
      <c r="G211" s="1405"/>
      <c r="H211" s="1405"/>
      <c r="I211" s="1405"/>
      <c r="J211" s="1405"/>
      <c r="K211" s="1405"/>
      <c r="L211" s="1405"/>
      <c r="M211" s="1405"/>
      <c r="BN211" s="133" t="s">
        <v>1042</v>
      </c>
      <c r="BS211">
        <v>7</v>
      </c>
      <c r="BT211" s="27" t="s">
        <v>1043</v>
      </c>
      <c r="CB211" s="253" t="s">
        <v>1033</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1032</v>
      </c>
      <c r="CS211" s="226">
        <v>402640</v>
      </c>
      <c r="CT211" s="226">
        <v>464240</v>
      </c>
      <c r="CU211" s="226">
        <v>560000</v>
      </c>
      <c r="CV211" s="226">
        <v>716800</v>
      </c>
      <c r="CW211" s="226">
        <v>798560</v>
      </c>
      <c r="CX211" s="13"/>
      <c r="CY211" s="133" t="s">
        <v>1032</v>
      </c>
      <c r="CZ211" s="226">
        <v>402640</v>
      </c>
      <c r="DA211" s="226">
        <v>464240</v>
      </c>
      <c r="DB211" s="226">
        <v>560000</v>
      </c>
      <c r="DC211" s="226">
        <v>716800</v>
      </c>
      <c r="DD211" s="226">
        <v>798560</v>
      </c>
    </row>
    <row r="212" spans="1:108" ht="12.95" customHeight="1">
      <c r="C212" s="18"/>
      <c r="D212" s="3" t="s">
        <v>1044</v>
      </c>
      <c r="Q212" s="1229"/>
      <c r="R212" s="1229"/>
      <c r="T212" s="1669">
        <f>IFERROR(Q212/AG449,0)</f>
        <v>0</v>
      </c>
      <c r="U212" s="1670"/>
      <c r="BC212" t="s">
        <v>472</v>
      </c>
      <c r="BI212" t="s">
        <v>1045</v>
      </c>
      <c r="BN212" s="133" t="s">
        <v>1046</v>
      </c>
      <c r="BS212">
        <v>4</v>
      </c>
      <c r="BT212" s="27" t="s">
        <v>1047</v>
      </c>
      <c r="CB212" s="253" t="s">
        <v>1036</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1035</v>
      </c>
      <c r="CS212" s="228">
        <v>402640</v>
      </c>
      <c r="CT212" s="228">
        <v>464240</v>
      </c>
      <c r="CU212" s="228">
        <v>560000</v>
      </c>
      <c r="CV212" s="228">
        <v>716800</v>
      </c>
      <c r="CW212" s="228">
        <v>798560</v>
      </c>
      <c r="CX212" s="13"/>
      <c r="CY212" s="133" t="s">
        <v>1035</v>
      </c>
      <c r="CZ212" s="228">
        <v>402640</v>
      </c>
      <c r="DA212" s="228">
        <v>464240</v>
      </c>
      <c r="DB212" s="228">
        <v>560000</v>
      </c>
      <c r="DC212" s="228">
        <v>716800</v>
      </c>
      <c r="DD212" s="228">
        <v>798560</v>
      </c>
    </row>
    <row r="213" spans="1:108" ht="12.95" customHeight="1">
      <c r="D213" s="1028" t="s">
        <v>1048</v>
      </c>
      <c r="BC213" t="s">
        <v>1049</v>
      </c>
      <c r="BI213" s="3" t="s">
        <v>1050</v>
      </c>
      <c r="BN213" s="133" t="s">
        <v>1051</v>
      </c>
      <c r="BS213">
        <v>6</v>
      </c>
      <c r="BT213" s="27" t="s">
        <v>1052</v>
      </c>
      <c r="CB213" s="253" t="s">
        <v>1041</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1040</v>
      </c>
      <c r="CS213" s="226">
        <v>323262</v>
      </c>
      <c r="CT213" s="226">
        <v>372718</v>
      </c>
      <c r="CU213" s="226">
        <v>449600</v>
      </c>
      <c r="CV213" s="226">
        <v>575488</v>
      </c>
      <c r="CW213" s="226">
        <v>641130</v>
      </c>
      <c r="CX213" s="13"/>
      <c r="CY213" s="133" t="s">
        <v>1040</v>
      </c>
      <c r="CZ213" s="226">
        <v>323262</v>
      </c>
      <c r="DA213" s="226">
        <v>372718</v>
      </c>
      <c r="DB213" s="226">
        <v>449600</v>
      </c>
      <c r="DC213" s="226">
        <v>575488</v>
      </c>
      <c r="DD213" s="226">
        <v>641130</v>
      </c>
    </row>
    <row r="214" spans="1:108" ht="12.95" customHeight="1">
      <c r="D214" s="1671" t="s">
        <v>826</v>
      </c>
      <c r="E214" s="1671"/>
      <c r="F214" s="1671"/>
      <c r="G214" s="1671"/>
      <c r="H214" s="1671"/>
      <c r="I214" s="1671"/>
      <c r="J214" s="1671"/>
      <c r="K214" s="1671"/>
      <c r="L214" s="1671"/>
      <c r="M214" s="1671"/>
      <c r="N214" s="1671"/>
      <c r="O214" s="1671"/>
      <c r="P214" s="1671"/>
      <c r="Q214" s="1671"/>
      <c r="R214" s="1671"/>
      <c r="S214" s="1671"/>
      <c r="T214" s="1671"/>
      <c r="U214" s="1671"/>
      <c r="V214" s="1671"/>
      <c r="W214" s="1671"/>
      <c r="X214" s="1671"/>
      <c r="Y214" s="1671"/>
      <c r="Z214" s="1671"/>
      <c r="AU214" s="18"/>
      <c r="AV214" s="18"/>
      <c r="AW214" s="18"/>
      <c r="AX214" s="18"/>
      <c r="AY214" s="18"/>
      <c r="BC214" t="s">
        <v>1053</v>
      </c>
      <c r="BI214" s="3" t="s">
        <v>1054</v>
      </c>
      <c r="BN214" s="133" t="s">
        <v>1055</v>
      </c>
      <c r="BS214">
        <v>6</v>
      </c>
      <c r="BT214" s="27" t="s">
        <v>1056</v>
      </c>
      <c r="CB214" s="253" t="s">
        <v>1043</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1042</v>
      </c>
      <c r="CS214" s="228">
        <v>402640</v>
      </c>
      <c r="CT214" s="228">
        <v>464240</v>
      </c>
      <c r="CU214" s="228">
        <v>560000</v>
      </c>
      <c r="CV214" s="228">
        <v>716800</v>
      </c>
      <c r="CW214" s="228">
        <v>798560</v>
      </c>
      <c r="CX214" s="13"/>
      <c r="CY214" s="133" t="s">
        <v>1042</v>
      </c>
      <c r="CZ214" s="228">
        <v>402640</v>
      </c>
      <c r="DA214" s="228">
        <v>464240</v>
      </c>
      <c r="DB214" s="228">
        <v>560000</v>
      </c>
      <c r="DC214" s="228">
        <v>716800</v>
      </c>
      <c r="DD214" s="228">
        <v>798560</v>
      </c>
    </row>
    <row r="215" spans="1:108" ht="12.95" customHeight="1">
      <c r="D215" s="3" t="s">
        <v>1057</v>
      </c>
      <c r="Z215" s="32"/>
      <c r="AB215" s="1638"/>
      <c r="AC215" s="1638"/>
      <c r="AD215" s="1638"/>
      <c r="AE215" s="1638"/>
      <c r="AF215" s="1638"/>
      <c r="AG215" s="1638"/>
      <c r="AH215" s="1638"/>
      <c r="AI215" s="1638"/>
      <c r="AJ215" s="1638"/>
      <c r="AK215" s="1638"/>
      <c r="AL215" s="1638"/>
      <c r="AM215" s="18"/>
      <c r="AN215" s="18"/>
      <c r="AO215" s="18"/>
      <c r="AP215" s="18"/>
      <c r="AQ215" s="18"/>
      <c r="AR215" s="18"/>
      <c r="AS215" s="18"/>
      <c r="AT215" s="18"/>
      <c r="AU215" s="18"/>
      <c r="AV215" s="18"/>
      <c r="AW215" s="18"/>
      <c r="AX215" s="18"/>
      <c r="AY215" s="18"/>
      <c r="BC215" t="s">
        <v>1058</v>
      </c>
      <c r="BI215" s="3" t="s">
        <v>1059</v>
      </c>
      <c r="CB215" s="253" t="s">
        <v>1047</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1046</v>
      </c>
      <c r="CS215" s="226">
        <v>442904</v>
      </c>
      <c r="CT215" s="226">
        <v>510664</v>
      </c>
      <c r="CU215" s="226">
        <v>616000</v>
      </c>
      <c r="CV215" s="226">
        <v>788480</v>
      </c>
      <c r="CW215" s="226">
        <v>878416</v>
      </c>
      <c r="CX215" s="13"/>
      <c r="CY215" s="133" t="s">
        <v>1046</v>
      </c>
      <c r="CZ215" s="226">
        <v>442904</v>
      </c>
      <c r="DA215" s="226">
        <v>510664</v>
      </c>
      <c r="DB215" s="226">
        <v>616000</v>
      </c>
      <c r="DC215" s="226">
        <v>788480</v>
      </c>
      <c r="DD215" s="226">
        <v>878416</v>
      </c>
    </row>
    <row r="216" spans="1:108" ht="12.95" customHeight="1">
      <c r="D216" s="3" t="s">
        <v>1060</v>
      </c>
      <c r="Z216" s="32"/>
      <c r="AB216" s="1638"/>
      <c r="AC216" s="1638"/>
      <c r="AD216" s="1638"/>
      <c r="AE216" s="1638"/>
      <c r="AF216" s="1638"/>
      <c r="AG216" s="1638"/>
      <c r="AH216" s="1638"/>
      <c r="AI216" s="1638"/>
      <c r="AJ216" s="1638"/>
      <c r="AK216" s="1638"/>
      <c r="AL216" s="1638"/>
      <c r="AM216" s="18"/>
      <c r="AN216" s="18"/>
      <c r="AO216" s="18"/>
      <c r="AP216" s="18"/>
      <c r="AQ216" s="18"/>
      <c r="AR216" s="18"/>
      <c r="AS216" s="18"/>
      <c r="AT216" s="18"/>
      <c r="AU216" s="18"/>
      <c r="AV216" s="18"/>
      <c r="AW216" s="18"/>
      <c r="AX216" s="18"/>
      <c r="AY216" s="18"/>
      <c r="BC216" t="s">
        <v>1061</v>
      </c>
      <c r="BI216" t="s">
        <v>1018</v>
      </c>
      <c r="CB216" s="253" t="s">
        <v>1052</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1051</v>
      </c>
      <c r="CS216" s="228">
        <v>360075</v>
      </c>
      <c r="CT216" s="228">
        <v>415163</v>
      </c>
      <c r="CU216" s="228">
        <v>500800</v>
      </c>
      <c r="CV216" s="228">
        <v>641024</v>
      </c>
      <c r="CW216" s="228">
        <v>714141</v>
      </c>
      <c r="CX216" s="13"/>
      <c r="CY216" s="133" t="s">
        <v>1051</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1062</v>
      </c>
      <c r="BI217" t="s">
        <v>1063</v>
      </c>
      <c r="CB217" s="253" t="s">
        <v>1056</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1055</v>
      </c>
      <c r="CS217" s="226">
        <v>360075</v>
      </c>
      <c r="CT217" s="226">
        <v>415163</v>
      </c>
      <c r="CU217" s="226">
        <v>500800</v>
      </c>
      <c r="CV217" s="226">
        <v>641024</v>
      </c>
      <c r="CW217" s="226">
        <v>714141</v>
      </c>
      <c r="CX217" s="13"/>
      <c r="CY217" s="133" t="s">
        <v>1055</v>
      </c>
      <c r="CZ217" s="226">
        <v>360075</v>
      </c>
      <c r="DA217" s="226">
        <v>415163</v>
      </c>
      <c r="DB217" s="226">
        <v>500800</v>
      </c>
      <c r="DC217" s="226">
        <v>641024</v>
      </c>
      <c r="DD217" s="226">
        <v>714141</v>
      </c>
    </row>
    <row r="218" spans="1:108" ht="12.95" customHeight="1">
      <c r="A218" s="2" t="s">
        <v>1064</v>
      </c>
      <c r="C218" s="2" t="s">
        <v>1065</v>
      </c>
      <c r="D218" s="19"/>
      <c r="AC218" s="2" t="s">
        <v>1066</v>
      </c>
      <c r="BC218" t="s">
        <v>1067</v>
      </c>
    </row>
    <row r="219" spans="1:108" ht="12.95" customHeight="1">
      <c r="A219" s="2"/>
      <c r="C219" s="2"/>
      <c r="D219" s="3" t="s">
        <v>1068</v>
      </c>
      <c r="AZ219" s="3"/>
      <c r="BA219" s="3"/>
      <c r="BC219" t="s">
        <v>1069</v>
      </c>
    </row>
    <row r="220" spans="1:108" ht="12.95" customHeight="1">
      <c r="A220" s="2"/>
      <c r="C220" s="2"/>
      <c r="D220" s="1405" t="s">
        <v>1031</v>
      </c>
      <c r="E220" s="1405"/>
      <c r="F220" s="1405"/>
      <c r="G220" s="1405"/>
      <c r="H220" s="1405"/>
      <c r="I220" s="1405"/>
      <c r="J220" s="1405"/>
      <c r="K220" s="1405"/>
      <c r="L220" s="1405"/>
      <c r="M220" s="1405"/>
      <c r="N220" s="1405"/>
      <c r="O220" s="1405"/>
      <c r="P220" s="1405"/>
      <c r="Q220" s="1405"/>
      <c r="R220" s="1405"/>
      <c r="S220" s="1405"/>
      <c r="T220" s="1405"/>
      <c r="U220" s="1405"/>
      <c r="V220" s="1405"/>
      <c r="W220" s="1405"/>
      <c r="X220" s="1405"/>
      <c r="Y220" s="1405"/>
      <c r="Z220" s="1405"/>
      <c r="AC220" s="1635" t="s">
        <v>816</v>
      </c>
      <c r="AD220" s="1635"/>
      <c r="AE220" s="1635"/>
      <c r="AF220" s="1635"/>
      <c r="AG220" s="1635"/>
      <c r="AH220" s="1635"/>
      <c r="AI220" s="1635"/>
      <c r="AJ220" s="1635"/>
      <c r="AK220" s="1635"/>
      <c r="AL220" s="1635"/>
      <c r="AM220" s="1635"/>
      <c r="AN220" s="1635"/>
      <c r="AO220" s="1635"/>
      <c r="AP220" s="1635"/>
      <c r="AQ220" s="1635"/>
      <c r="BA220" s="3"/>
      <c r="BC220" t="s">
        <v>1070</v>
      </c>
    </row>
    <row r="221" spans="1:108" ht="12.95" customHeight="1">
      <c r="A221" s="2"/>
      <c r="B221" s="13"/>
      <c r="C221" s="2"/>
      <c r="BA221" s="3"/>
    </row>
    <row r="222" spans="1:108" ht="12.95" customHeight="1">
      <c r="A222" s="2" t="s">
        <v>1071</v>
      </c>
      <c r="B222" s="13"/>
      <c r="C222" s="2" t="s">
        <v>1072</v>
      </c>
      <c r="BA222" s="3"/>
    </row>
    <row r="223" spans="1:108" ht="12.95" customHeight="1">
      <c r="A223" s="2"/>
      <c r="B223" s="13"/>
      <c r="C223" s="2"/>
      <c r="D223" s="3" t="s">
        <v>1073</v>
      </c>
      <c r="BA223" s="3"/>
    </row>
    <row r="224" spans="1:108" ht="12.95" customHeight="1">
      <c r="A224" s="2"/>
      <c r="B224" s="13"/>
      <c r="C224" s="2"/>
      <c r="E224" s="3" t="s">
        <v>791</v>
      </c>
      <c r="V224" s="1229" t="s">
        <v>701</v>
      </c>
      <c r="W224" s="1229"/>
      <c r="Y224" s="1082"/>
      <c r="BA224" s="3"/>
    </row>
    <row r="225" spans="1:69" ht="12.95" customHeight="1">
      <c r="A225" s="2"/>
      <c r="B225" s="13"/>
      <c r="C225" s="2"/>
      <c r="E225" s="3" t="s">
        <v>792</v>
      </c>
      <c r="V225" s="1229" t="s">
        <v>701</v>
      </c>
      <c r="W225" s="1229"/>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793</v>
      </c>
      <c r="V226" s="1268" t="s">
        <v>862</v>
      </c>
      <c r="W226" s="1268"/>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795</v>
      </c>
      <c r="V227" s="1268" t="s">
        <v>701</v>
      </c>
      <c r="W227" s="1268"/>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796</v>
      </c>
      <c r="V228" s="1268" t="s">
        <v>701</v>
      </c>
      <c r="W228" s="1268"/>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797</v>
      </c>
      <c r="V229" s="1268" t="s">
        <v>701</v>
      </c>
      <c r="W229" s="1268"/>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19" t="s">
        <v>1074</v>
      </c>
      <c r="B231" s="1419"/>
      <c r="C231" s="1419"/>
      <c r="D231" s="1419"/>
      <c r="E231" s="1419"/>
      <c r="F231" s="1419"/>
      <c r="G231" s="1419"/>
      <c r="H231" s="1419"/>
      <c r="I231" s="1419"/>
      <c r="J231" s="1419"/>
      <c r="K231" s="1419"/>
      <c r="L231" s="1419"/>
      <c r="M231" s="1419"/>
      <c r="N231" s="1419"/>
      <c r="O231" s="1419"/>
      <c r="P231" s="1419"/>
      <c r="Q231" s="1419"/>
      <c r="R231" s="1419"/>
      <c r="S231" s="1419"/>
      <c r="T231" s="1419"/>
      <c r="U231" s="1419"/>
      <c r="V231" s="1419"/>
      <c r="W231" s="1419"/>
      <c r="X231" s="1419"/>
      <c r="Y231" s="1419"/>
      <c r="Z231" s="1419"/>
      <c r="AA231" s="1419"/>
      <c r="AB231" s="1419"/>
      <c r="AC231" s="1419"/>
      <c r="AD231" s="1419"/>
      <c r="AE231" s="1419"/>
      <c r="AF231" s="1419"/>
      <c r="AG231" s="1419"/>
      <c r="AH231" s="1419"/>
      <c r="AI231" s="1419"/>
      <c r="AJ231" s="1419"/>
      <c r="AK231" s="1419"/>
      <c r="AL231" s="1419"/>
      <c r="AM231" s="1419"/>
      <c r="AN231" s="1419"/>
      <c r="AO231" s="1419"/>
      <c r="AP231" s="1419"/>
      <c r="AQ231" s="1419"/>
      <c r="AR231" s="1419"/>
      <c r="AS231" s="1419"/>
      <c r="AT231" s="1419"/>
      <c r="AU231" s="70"/>
      <c r="AV231" s="70"/>
      <c r="AW231" s="70"/>
      <c r="AX231" s="70"/>
      <c r="AY231" s="70"/>
      <c r="AZ231" s="3"/>
      <c r="BA231" s="3"/>
      <c r="BP231" s="3"/>
    </row>
    <row r="232" spans="1:69" ht="12.95" customHeight="1">
      <c r="A232" s="1419"/>
      <c r="B232" s="1419"/>
      <c r="C232" s="1419"/>
      <c r="D232" s="1419"/>
      <c r="E232" s="1419"/>
      <c r="F232" s="1419"/>
      <c r="G232" s="1419"/>
      <c r="H232" s="1419"/>
      <c r="I232" s="1419"/>
      <c r="J232" s="1419"/>
      <c r="K232" s="1419"/>
      <c r="L232" s="1419"/>
      <c r="M232" s="1419"/>
      <c r="N232" s="1419"/>
      <c r="O232" s="1419"/>
      <c r="P232" s="1419"/>
      <c r="Q232" s="1419"/>
      <c r="R232" s="1419"/>
      <c r="S232" s="1419"/>
      <c r="T232" s="1419"/>
      <c r="U232" s="1419"/>
      <c r="V232" s="1419"/>
      <c r="W232" s="1419"/>
      <c r="X232" s="1419"/>
      <c r="Y232" s="1419"/>
      <c r="Z232" s="1419"/>
      <c r="AA232" s="1419"/>
      <c r="AB232" s="1419"/>
      <c r="AC232" s="1419"/>
      <c r="AD232" s="1419"/>
      <c r="AE232" s="1419"/>
      <c r="AF232" s="1419"/>
      <c r="AG232" s="1419"/>
      <c r="AH232" s="1419"/>
      <c r="AI232" s="1419"/>
      <c r="AJ232" s="1419"/>
      <c r="AK232" s="1419"/>
      <c r="AL232" s="1419"/>
      <c r="AM232" s="1419"/>
      <c r="AN232" s="1419"/>
      <c r="AO232" s="1419"/>
      <c r="AP232" s="1419"/>
      <c r="AQ232" s="1419"/>
      <c r="AR232" s="1419"/>
      <c r="AS232" s="1419"/>
      <c r="AT232" s="1419"/>
      <c r="BA232" s="3"/>
      <c r="BB232" s="3"/>
      <c r="BQ232" s="3"/>
    </row>
    <row r="233" spans="1:69" ht="12.95" customHeight="1">
      <c r="AZ233" s="3"/>
      <c r="BA233" s="3"/>
      <c r="BB233" s="3"/>
      <c r="BQ233" s="3"/>
    </row>
    <row r="234" spans="1:69" ht="12.95" customHeight="1">
      <c r="A234" s="2" t="s">
        <v>887</v>
      </c>
      <c r="B234" s="2"/>
      <c r="C234" s="2" t="s">
        <v>1075</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1076</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29" t="s">
        <v>826</v>
      </c>
      <c r="AJ235" s="1229"/>
      <c r="AL235" s="3"/>
      <c r="AM235" s="3"/>
      <c r="AN235" s="3"/>
      <c r="AO235" s="3"/>
      <c r="AP235" s="3"/>
      <c r="AQ235" s="3"/>
      <c r="AR235" s="3"/>
      <c r="AS235" s="3"/>
      <c r="AT235" s="3"/>
      <c r="AU235" s="3"/>
      <c r="AV235" s="3"/>
      <c r="AW235" s="3"/>
      <c r="AX235" s="3"/>
      <c r="AY235" s="3"/>
      <c r="AZ235" s="3"/>
      <c r="BB235" s="136" t="s">
        <v>1077</v>
      </c>
      <c r="BG235" s="166">
        <f>IF(AND(AND($M$258="for profit",$M$266="for profit",$M$274="nonprofit")),2,0)</f>
        <v>0</v>
      </c>
    </row>
    <row r="236" spans="1:69" ht="12.95" customHeight="1">
      <c r="B236" s="3"/>
      <c r="D236" s="3" t="s">
        <v>1078</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29" t="s">
        <v>862</v>
      </c>
      <c r="AJ236" s="1229"/>
      <c r="AL236" s="3"/>
      <c r="AM236" s="3"/>
      <c r="AN236" s="3"/>
      <c r="AO236" s="3"/>
      <c r="AP236" s="3"/>
      <c r="AQ236" s="3"/>
      <c r="AR236" s="3"/>
      <c r="AS236" s="3"/>
      <c r="AT236" s="3"/>
      <c r="AU236" s="3"/>
      <c r="AV236" s="3"/>
      <c r="AW236" s="3"/>
      <c r="AX236" s="3"/>
      <c r="AY236" s="3"/>
      <c r="BA236" s="3"/>
      <c r="BB236" s="136" t="s">
        <v>1077</v>
      </c>
      <c r="BG236" s="166">
        <f>IF(AND(AND($M$258="for profit",$M$266="nonprofit",$M$274="for profit")),2,0)</f>
        <v>0</v>
      </c>
    </row>
    <row r="237" spans="1:69" ht="12.95" customHeight="1">
      <c r="B237" s="3"/>
      <c r="D237" s="3" t="s">
        <v>1079</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29" t="s">
        <v>862</v>
      </c>
      <c r="AJ237" s="1229"/>
      <c r="AL237" s="3"/>
      <c r="AM237" s="3"/>
      <c r="AN237" s="3"/>
      <c r="AO237" s="3"/>
      <c r="AP237" s="3"/>
      <c r="AQ237" s="3"/>
      <c r="AR237" s="3"/>
      <c r="AS237" s="3"/>
      <c r="AT237" s="3"/>
      <c r="AU237" s="3"/>
      <c r="AV237" s="3"/>
      <c r="AW237" s="3"/>
      <c r="AX237" s="3"/>
      <c r="AY237" s="3"/>
      <c r="AZ237" s="3"/>
      <c r="BA237" s="3"/>
      <c r="BB237" s="136" t="s">
        <v>1077</v>
      </c>
      <c r="BG237" s="166">
        <f>IF(AND(AND($M$258="nonprofit",$M$266="for profit",$M$274="for profit")),2,0)</f>
        <v>0</v>
      </c>
    </row>
    <row r="238" spans="1:69" ht="12.95" customHeight="1">
      <c r="B238" s="3"/>
      <c r="D238" s="3" t="s">
        <v>1080</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29" t="s">
        <v>826</v>
      </c>
      <c r="AJ238" s="1229"/>
      <c r="AL238" s="3"/>
      <c r="AM238" s="3"/>
      <c r="AN238" s="3"/>
      <c r="AO238" s="3"/>
      <c r="AP238" s="3"/>
      <c r="AQ238" s="3"/>
      <c r="AR238" s="3"/>
      <c r="AS238" s="3"/>
      <c r="AT238" s="3"/>
      <c r="AU238" s="3"/>
      <c r="AV238" s="3"/>
      <c r="AW238" s="3"/>
      <c r="AX238" s="3"/>
      <c r="AY238" s="3"/>
      <c r="BA238" s="3"/>
      <c r="BB238" s="136" t="s">
        <v>1077</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1077</v>
      </c>
      <c r="BG239" s="165">
        <f>IF(AND(AND($M$258="nonprofit",$M$266="for profit",$M$274="(select one)")),2,0)</f>
        <v>0</v>
      </c>
    </row>
    <row r="240" spans="1:69" ht="12.95" customHeight="1">
      <c r="A240" s="2" t="s">
        <v>928</v>
      </c>
      <c r="B240" s="3"/>
      <c r="C240" s="2" t="s">
        <v>1081</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1082</v>
      </c>
      <c r="E241" s="3"/>
      <c r="F241" s="3"/>
      <c r="G241" s="3"/>
      <c r="H241" s="3"/>
      <c r="I241" s="3"/>
      <c r="J241" s="3"/>
      <c r="K241" s="3"/>
      <c r="M241" s="1482" t="str">
        <f>H16</f>
        <v>Greenfield EAH II, L.P.</v>
      </c>
      <c r="N241" s="1482"/>
      <c r="O241" s="1482"/>
      <c r="P241" s="1482"/>
      <c r="Q241" s="1482"/>
      <c r="R241" s="1482"/>
      <c r="S241" s="1482"/>
      <c r="T241" s="1482"/>
      <c r="U241" s="1482"/>
      <c r="V241" s="1482"/>
      <c r="W241" s="1482"/>
      <c r="X241" s="1482"/>
      <c r="Y241" s="1482"/>
      <c r="Z241" s="1482"/>
      <c r="AA241" s="1482"/>
      <c r="AB241" s="1482"/>
      <c r="AC241" s="1482"/>
      <c r="AD241" s="1482"/>
      <c r="AE241" s="1482"/>
      <c r="AF241" s="1482"/>
      <c r="AG241" s="1482"/>
      <c r="AH241" s="1482"/>
      <c r="AI241" s="1482"/>
      <c r="AJ241" s="1482"/>
      <c r="AK241" s="1482"/>
      <c r="AZ241" s="3"/>
      <c r="BA241" s="3"/>
      <c r="BB241" s="137" t="s">
        <v>1077</v>
      </c>
      <c r="BG241" s="166">
        <f>IF(AND(AND($M$258="nonprofit",$M$266="nonprofit",$M$274="for profit")),2,0)</f>
        <v>0</v>
      </c>
    </row>
    <row r="242" spans="1:67" ht="12.95" customHeight="1">
      <c r="D242" s="3" t="s">
        <v>1083</v>
      </c>
      <c r="E242" s="3"/>
      <c r="F242" s="3"/>
      <c r="G242" s="3"/>
      <c r="H242" s="3"/>
      <c r="I242" s="3"/>
      <c r="J242" s="3"/>
      <c r="K242" s="3"/>
      <c r="M242" s="1405" t="s">
        <v>1084</v>
      </c>
      <c r="N242" s="1405"/>
      <c r="O242" s="1405"/>
      <c r="P242" s="1405"/>
      <c r="Q242" s="1405"/>
      <c r="R242" s="1405"/>
      <c r="S242" s="1405"/>
      <c r="T242" s="1405"/>
      <c r="U242" s="1405"/>
      <c r="V242" s="1405"/>
      <c r="W242" s="1405"/>
      <c r="X242" s="1405"/>
      <c r="Y242" s="1405"/>
      <c r="Z242" s="1405"/>
      <c r="AA242" s="1405"/>
      <c r="AB242" s="1405"/>
      <c r="AC242" s="1405"/>
      <c r="AD242" s="1405"/>
      <c r="AE242" s="1405"/>
      <c r="BB242" s="137" t="s">
        <v>1077</v>
      </c>
      <c r="BG242" s="166">
        <f>IF(AND(AND($M$258="nonprofit",$M$266="for profit",$M$274="nonprofit")),2,0)</f>
        <v>0</v>
      </c>
    </row>
    <row r="243" spans="1:67" ht="12.95" customHeight="1">
      <c r="D243" s="3" t="s">
        <v>947</v>
      </c>
      <c r="E243" s="3"/>
      <c r="M243" s="1405" t="s">
        <v>802</v>
      </c>
      <c r="N243" s="1405"/>
      <c r="O243" s="1405"/>
      <c r="P243" s="1405"/>
      <c r="Q243" s="1405"/>
      <c r="R243" s="1405"/>
      <c r="S243" s="1405"/>
      <c r="T243" s="1405"/>
      <c r="V243" s="918" t="s">
        <v>1085</v>
      </c>
      <c r="W243" s="1274" t="str">
        <f>[1]Application!W234</f>
        <v>CA</v>
      </c>
      <c r="X243" s="1274"/>
      <c r="Y243" s="3" t="s">
        <v>952</v>
      </c>
      <c r="AC243" s="1405">
        <f>[1]Application!AC234</f>
        <v>94901</v>
      </c>
      <c r="AD243" s="1405"/>
      <c r="AE243" s="1405"/>
      <c r="AU243" s="3"/>
      <c r="AV243" s="3"/>
      <c r="AW243" s="3"/>
      <c r="AX243" s="3"/>
      <c r="AY243" s="3"/>
      <c r="AZ243" s="3"/>
      <c r="BB243" s="137" t="s">
        <v>1077</v>
      </c>
      <c r="BG243" s="165">
        <f>IF(AND(AND($M$258="for profit",$M$266="nonprofit",$M$274="nonprofit")),2,0)</f>
        <v>0</v>
      </c>
    </row>
    <row r="244" spans="1:67" ht="12.95" customHeight="1">
      <c r="D244" s="3" t="s">
        <v>1086</v>
      </c>
      <c r="E244" s="3"/>
      <c r="F244" s="3"/>
      <c r="G244" s="3"/>
      <c r="H244" s="3"/>
      <c r="I244" s="3"/>
      <c r="J244" s="3"/>
      <c r="K244" s="1164"/>
      <c r="M244" s="1405" t="s">
        <v>806</v>
      </c>
      <c r="N244" s="1405"/>
      <c r="O244" s="1405"/>
      <c r="P244" s="1405"/>
      <c r="Q244" s="1405"/>
      <c r="R244" s="1405"/>
      <c r="S244" s="1405"/>
      <c r="T244" s="1405"/>
      <c r="U244" s="1405"/>
      <c r="V244" s="1405"/>
      <c r="W244" s="1405"/>
      <c r="X244" s="1405"/>
      <c r="Y244" s="1405"/>
      <c r="Z244" s="1405"/>
      <c r="AA244" s="1405"/>
      <c r="AB244" s="1405"/>
      <c r="AC244" s="1405"/>
      <c r="AD244" s="1405"/>
      <c r="AE244" s="1405"/>
      <c r="AI244" s="3"/>
      <c r="AJ244" s="3"/>
      <c r="AK244" s="3"/>
      <c r="AL244" s="3"/>
      <c r="AM244" s="3"/>
      <c r="AN244" s="3"/>
      <c r="AO244" s="3"/>
      <c r="AP244" s="3"/>
      <c r="AQ244" s="3"/>
      <c r="AR244" s="3"/>
      <c r="AS244" s="3"/>
      <c r="AT244" s="3"/>
      <c r="BB244" s="137"/>
      <c r="BG244" s="136"/>
    </row>
    <row r="245" spans="1:67" ht="12.95" customHeight="1">
      <c r="D245" s="3" t="s">
        <v>1087</v>
      </c>
      <c r="E245" s="3"/>
      <c r="F245" s="3"/>
      <c r="M245" s="1334">
        <v>4152958876</v>
      </c>
      <c r="N245" s="1334"/>
      <c r="O245" s="1334"/>
      <c r="P245" s="1334"/>
      <c r="Q245" s="1334"/>
      <c r="R245" s="1334"/>
      <c r="S245" s="3" t="s">
        <v>1088</v>
      </c>
      <c r="T245" s="3"/>
      <c r="U245" s="1274"/>
      <c r="V245" s="1274"/>
      <c r="W245" s="1274"/>
      <c r="X245" s="3" t="s">
        <v>1089</v>
      </c>
      <c r="Z245" s="1334">
        <f>[1]Application!Z236</f>
        <v>0</v>
      </c>
      <c r="AA245" s="1334"/>
      <c r="AB245" s="1334"/>
      <c r="AC245" s="1334"/>
      <c r="AD245" s="1334"/>
      <c r="AE245" s="1334"/>
      <c r="AU245" s="3"/>
      <c r="AV245" s="3"/>
      <c r="AW245" s="3"/>
      <c r="AX245" s="3"/>
      <c r="AY245" s="3"/>
      <c r="AZ245" s="3"/>
      <c r="BB245" s="136" t="s">
        <v>1090</v>
      </c>
      <c r="BG245" s="166">
        <f>IF(AND(AND($M$258="nonprofit",$M$266="nonprofit",$M$274="(select one)")),1,0)</f>
        <v>0</v>
      </c>
    </row>
    <row r="246" spans="1:67" ht="12.95" customHeight="1">
      <c r="D246" s="3" t="s">
        <v>1091</v>
      </c>
      <c r="E246" s="3"/>
      <c r="F246" s="3"/>
      <c r="M246" s="1659" t="s">
        <v>1092</v>
      </c>
      <c r="N246" s="1659"/>
      <c r="O246" s="1659"/>
      <c r="P246" s="1659"/>
      <c r="Q246" s="1659"/>
      <c r="R246" s="1659"/>
      <c r="S246" s="1659"/>
      <c r="T246" s="1659"/>
      <c r="U246" s="1659"/>
      <c r="V246" s="1659"/>
      <c r="W246" s="1659"/>
      <c r="X246" s="1659"/>
      <c r="Y246" s="1659"/>
      <c r="Z246" s="1659"/>
      <c r="AA246" s="1659"/>
      <c r="AB246" s="1659"/>
      <c r="AC246" s="1659"/>
      <c r="AD246" s="1659"/>
      <c r="AE246" s="1659"/>
      <c r="AF246" s="3"/>
      <c r="AG246" s="3"/>
      <c r="AH246" s="3"/>
      <c r="AI246" s="3"/>
      <c r="AJ246" s="3"/>
      <c r="AK246" s="3"/>
      <c r="AL246" s="3"/>
      <c r="AM246" s="3"/>
      <c r="AN246" s="3"/>
      <c r="AO246" s="3"/>
      <c r="AP246" s="3"/>
      <c r="AQ246" s="3"/>
      <c r="AR246" s="3"/>
      <c r="AS246" s="3"/>
      <c r="AT246" s="3"/>
      <c r="AU246" s="3"/>
      <c r="AV246" s="3"/>
      <c r="AW246" s="3"/>
      <c r="AX246" s="3"/>
      <c r="AY246" s="3"/>
      <c r="BB246" s="136" t="s">
        <v>1090</v>
      </c>
      <c r="BG246" s="166">
        <f>IF(AND(AND($M$258="nonprofit",$M$266="nonprofit",$M$274="nonprofit")),1,0)</f>
        <v>0</v>
      </c>
    </row>
    <row r="247" spans="1:67" ht="12.95" customHeight="1">
      <c r="A247" s="2" t="s">
        <v>1007</v>
      </c>
      <c r="C247" s="2" t="s">
        <v>1093</v>
      </c>
      <c r="M247" s="1350" t="s">
        <v>1062</v>
      </c>
      <c r="N247" s="1350"/>
      <c r="O247" s="1350"/>
      <c r="P247" s="1350"/>
      <c r="Q247" s="1350"/>
      <c r="R247" s="1350"/>
      <c r="S247" s="1350"/>
      <c r="T247" s="1350"/>
      <c r="U247" s="136" t="s">
        <v>1094</v>
      </c>
      <c r="V247" s="136"/>
      <c r="W247" s="136"/>
      <c r="X247" s="136"/>
      <c r="Y247" s="136"/>
      <c r="Z247" s="136"/>
      <c r="AA247" s="1651" t="s">
        <v>1095</v>
      </c>
      <c r="AB247" s="1651"/>
      <c r="AC247" s="1651"/>
      <c r="AD247" s="1651"/>
      <c r="AE247" s="1651"/>
      <c r="AF247" s="1651"/>
      <c r="AG247" s="1651"/>
      <c r="AH247" s="1651"/>
      <c r="AI247" s="1651"/>
      <c r="AJ247" s="1651"/>
      <c r="AK247" s="1651"/>
      <c r="AL247" s="3"/>
      <c r="AM247" s="3"/>
      <c r="AN247" s="3"/>
      <c r="AO247" s="3"/>
      <c r="AP247" s="3"/>
      <c r="AQ247" s="3"/>
      <c r="AR247" s="3"/>
      <c r="AS247" s="3"/>
      <c r="AT247" s="3"/>
      <c r="AU247" s="3"/>
      <c r="AV247" s="3"/>
      <c r="AW247" s="3"/>
      <c r="AX247" s="3"/>
      <c r="AY247" s="3"/>
      <c r="BB247" s="136" t="s">
        <v>1090</v>
      </c>
      <c r="BG247" s="166">
        <f>IF(AND(AND($M$258="nonprofit",$M$266="(select one)",$M$274="(select one)")),1,0)</f>
        <v>0</v>
      </c>
    </row>
    <row r="248" spans="1:67" ht="12.95" customHeight="1">
      <c r="D248" t="s">
        <v>1096</v>
      </c>
      <c r="M248" s="1335"/>
      <c r="N248" s="1335"/>
      <c r="O248" s="1335"/>
      <c r="P248" s="1335"/>
      <c r="Q248" s="1335"/>
      <c r="R248" s="1335"/>
      <c r="S248" s="1335"/>
      <c r="T248" s="1335"/>
      <c r="U248" s="1335"/>
      <c r="V248" s="1335"/>
      <c r="W248" s="1335"/>
      <c r="X248" s="1335"/>
      <c r="Y248" s="1335"/>
      <c r="Z248" s="1335"/>
      <c r="AA248" s="1335"/>
      <c r="AB248" s="1335"/>
      <c r="AC248" s="1335"/>
      <c r="AD248" s="1335"/>
      <c r="AE248" s="1335"/>
      <c r="AF248" s="3"/>
      <c r="AG248" s="3"/>
      <c r="AH248" s="3"/>
      <c r="AI248" s="3"/>
      <c r="AJ248" s="3"/>
      <c r="AK248" s="3"/>
      <c r="AL248" s="3"/>
      <c r="AM248" s="3"/>
      <c r="AN248" s="3"/>
      <c r="AO248" s="3"/>
      <c r="AP248" s="3"/>
      <c r="AQ248" s="3"/>
      <c r="AR248" s="3"/>
      <c r="AS248" s="3"/>
      <c r="AT248" s="3"/>
      <c r="BB248" s="136" t="s">
        <v>1097</v>
      </c>
      <c r="BG248" s="166">
        <f>IF(AND(AND($M$258="for profit",$M$266="for profit",$M$274="(select one)")),3,0)</f>
        <v>0</v>
      </c>
    </row>
    <row r="249" spans="1:67" ht="12.95" customHeight="1">
      <c r="D249" s="3"/>
      <c r="BB249" s="136" t="s">
        <v>1097</v>
      </c>
      <c r="BG249" s="166">
        <f>IF(AND(AND($M$258="for profit",$M$266="for profit",$M$274="for profit")),3,0)</f>
        <v>0</v>
      </c>
    </row>
    <row r="250" spans="1:67" ht="12.95" customHeight="1">
      <c r="A250" s="2" t="s">
        <v>1025</v>
      </c>
      <c r="C250" s="2" t="s">
        <v>1098</v>
      </c>
      <c r="D250" s="3"/>
      <c r="L250" s="7"/>
      <c r="M250" s="7"/>
      <c r="N250" s="7"/>
      <c r="AU250" s="3"/>
      <c r="AV250" s="3"/>
      <c r="AW250" s="3"/>
      <c r="AX250" s="3"/>
      <c r="AY250" s="3"/>
      <c r="BB250" s="136" t="s">
        <v>1097</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4"/>
      <c r="B252" s="3"/>
      <c r="C252" s="48" t="s">
        <v>1099</v>
      </c>
      <c r="D252" s="3" t="s">
        <v>1100</v>
      </c>
      <c r="E252" s="3"/>
      <c r="F252" s="3"/>
      <c r="G252" s="3"/>
      <c r="H252" s="3"/>
      <c r="I252" s="3"/>
      <c r="J252" s="3"/>
      <c r="K252" s="3"/>
      <c r="L252" s="3"/>
      <c r="M252" s="1407" t="s">
        <v>1101</v>
      </c>
      <c r="N252" s="1407"/>
      <c r="O252" s="1407"/>
      <c r="P252" s="1407"/>
      <c r="Q252" s="1407"/>
      <c r="R252" s="1407"/>
      <c r="S252" s="1407"/>
      <c r="T252" s="1407"/>
      <c r="U252" s="1407"/>
      <c r="V252" s="1407"/>
      <c r="W252" s="1407"/>
      <c r="X252" s="1407"/>
      <c r="Y252" s="1407"/>
      <c r="Z252" s="1407"/>
      <c r="AA252" s="1407"/>
      <c r="AB252" s="1407"/>
      <c r="AC252" s="1407"/>
      <c r="AD252" s="1407"/>
      <c r="AE252" s="1407"/>
      <c r="AF252" s="1407" t="s">
        <v>1102</v>
      </c>
      <c r="AG252" s="1407"/>
      <c r="AH252" s="1407"/>
      <c r="AI252" s="1407"/>
      <c r="AJ252" s="1407"/>
      <c r="AK252" s="1407"/>
      <c r="AU252" s="3"/>
      <c r="AV252" s="3"/>
      <c r="AW252" s="3"/>
      <c r="AX252" s="3"/>
      <c r="AY252" s="3"/>
      <c r="BG252">
        <f>SUM(BG235:BG250)</f>
        <v>0</v>
      </c>
    </row>
    <row r="253" spans="1:67" ht="12.95" customHeight="1">
      <c r="A253" s="1164"/>
      <c r="B253" s="3"/>
      <c r="C253" s="3"/>
      <c r="D253" s="3" t="s">
        <v>1083</v>
      </c>
      <c r="E253" s="3"/>
      <c r="F253" s="3"/>
      <c r="G253" s="3"/>
      <c r="H253" s="3"/>
      <c r="I253" s="3"/>
      <c r="J253" s="3"/>
      <c r="K253" s="3"/>
      <c r="L253" s="3"/>
      <c r="M253" s="1405" t="s">
        <v>1084</v>
      </c>
      <c r="N253" s="1405"/>
      <c r="O253" s="1405"/>
      <c r="P253" s="1405"/>
      <c r="Q253" s="1405"/>
      <c r="R253" s="1405"/>
      <c r="S253" s="1405"/>
      <c r="T253" s="1405"/>
      <c r="U253" s="1405"/>
      <c r="V253" s="1405"/>
      <c r="W253" s="1405"/>
      <c r="X253" s="1405"/>
      <c r="Y253" s="1405"/>
      <c r="Z253" s="1405"/>
      <c r="AA253" s="1405"/>
      <c r="AB253" s="1405"/>
      <c r="AC253" s="1405"/>
      <c r="AD253" s="1405"/>
      <c r="AE253" s="1405"/>
      <c r="AF253" s="3" t="s">
        <v>1103</v>
      </c>
      <c r="AL253" s="3"/>
      <c r="AM253" s="3"/>
      <c r="AN253" s="3"/>
      <c r="AO253" s="3"/>
      <c r="AP253" s="3"/>
      <c r="AQ253" s="3"/>
      <c r="AR253" s="3"/>
      <c r="AS253" s="3"/>
      <c r="AT253" s="3"/>
      <c r="BB253" t="s">
        <v>472</v>
      </c>
      <c r="BG253">
        <v>1</v>
      </c>
      <c r="BH253" t="s">
        <v>1104</v>
      </c>
    </row>
    <row r="254" spans="1:67" ht="12.95" customHeight="1">
      <c r="A254" s="1164"/>
      <c r="B254" s="3"/>
      <c r="C254" s="3"/>
      <c r="D254" s="3" t="s">
        <v>947</v>
      </c>
      <c r="E254" s="3"/>
      <c r="M254" s="1405" t="s">
        <v>802</v>
      </c>
      <c r="N254" s="1405"/>
      <c r="O254" s="1405"/>
      <c r="P254" s="1405"/>
      <c r="Q254" s="1405"/>
      <c r="R254" s="1405"/>
      <c r="S254" s="1405"/>
      <c r="T254" s="1405"/>
      <c r="V254" s="918" t="s">
        <v>1085</v>
      </c>
      <c r="W254" s="1274" t="s">
        <v>1105</v>
      </c>
      <c r="X254" s="1274"/>
      <c r="Y254" s="3" t="s">
        <v>952</v>
      </c>
      <c r="AC254" s="1405">
        <v>94901</v>
      </c>
      <c r="AD254" s="1405"/>
      <c r="AE254" s="1405"/>
      <c r="AF254" s="3" t="s">
        <v>1106</v>
      </c>
      <c r="AU254" s="3"/>
      <c r="AV254" s="3"/>
      <c r="AW254" s="3"/>
      <c r="AX254" s="3"/>
      <c r="AY254" s="3"/>
      <c r="BB254" s="3" t="s">
        <v>1107</v>
      </c>
      <c r="BG254">
        <v>2</v>
      </c>
      <c r="BH254" t="s">
        <v>1061</v>
      </c>
      <c r="BO254" s="1165" t="str">
        <f>VLOOKUP(BG252,BG253:BH256,2,FALSE)</f>
        <v/>
      </c>
    </row>
    <row r="255" spans="1:67" ht="12.95" customHeight="1">
      <c r="A255" s="1164"/>
      <c r="B255" s="3"/>
      <c r="C255" s="3"/>
      <c r="D255" s="3" t="s">
        <v>1086</v>
      </c>
      <c r="E255" s="3"/>
      <c r="F255" s="3"/>
      <c r="G255" s="3"/>
      <c r="H255" s="3"/>
      <c r="I255" s="3"/>
      <c r="J255" s="3"/>
      <c r="K255" s="3"/>
      <c r="L255" s="1164"/>
      <c r="M255" s="1405" t="s">
        <v>806</v>
      </c>
      <c r="N255" s="1405"/>
      <c r="O255" s="1405"/>
      <c r="P255" s="1405"/>
      <c r="Q255" s="1405"/>
      <c r="R255" s="1405"/>
      <c r="S255" s="1405"/>
      <c r="T255" s="1405"/>
      <c r="U255" s="1405"/>
      <c r="V255" s="1405"/>
      <c r="W255" s="1405"/>
      <c r="X255" s="1405"/>
      <c r="Y255" s="1405"/>
      <c r="Z255" s="1405"/>
      <c r="AA255" s="1405"/>
      <c r="AB255" s="1405"/>
      <c r="AC255" s="1405"/>
      <c r="AD255" s="1405"/>
      <c r="AE255" s="1405"/>
      <c r="AH255" s="1653">
        <v>0.01</v>
      </c>
      <c r="AI255" s="1653"/>
      <c r="AJ255" s="1653"/>
      <c r="AK255" s="1653"/>
      <c r="AL255" s="3"/>
      <c r="AM255" s="3"/>
      <c r="AN255" s="3"/>
      <c r="AO255" s="3"/>
      <c r="AP255" s="3"/>
      <c r="AQ255" s="3"/>
      <c r="AR255" s="3"/>
      <c r="AS255" s="3"/>
      <c r="AT255" s="3"/>
      <c r="BB255" s="3" t="s">
        <v>1108</v>
      </c>
      <c r="BG255">
        <v>3</v>
      </c>
      <c r="BH255" t="s">
        <v>1109</v>
      </c>
      <c r="BN255" s="3"/>
    </row>
    <row r="256" spans="1:67" ht="12.95" customHeight="1">
      <c r="A256" s="1164"/>
      <c r="B256" s="3"/>
      <c r="C256" s="3"/>
      <c r="D256" s="3" t="s">
        <v>1087</v>
      </c>
      <c r="E256" s="3"/>
      <c r="F256" s="3"/>
      <c r="M256" s="1334" t="s">
        <v>1110</v>
      </c>
      <c r="N256" s="1334"/>
      <c r="O256" s="1334"/>
      <c r="P256" s="1334"/>
      <c r="Q256" s="1334"/>
      <c r="R256" s="1334"/>
      <c r="S256" s="3" t="s">
        <v>1088</v>
      </c>
      <c r="T256" s="3"/>
      <c r="U256" s="1274"/>
      <c r="V256" s="1274"/>
      <c r="W256" s="1274"/>
      <c r="X256" s="3" t="s">
        <v>1089</v>
      </c>
      <c r="Z256" s="1334">
        <f>[1]Application!Z247</f>
        <v>0</v>
      </c>
      <c r="AA256" s="1334"/>
      <c r="AB256" s="1334"/>
      <c r="AC256" s="1334"/>
      <c r="AD256" s="1334"/>
      <c r="AE256" s="1334"/>
      <c r="AU256" s="3"/>
      <c r="AV256" s="3"/>
      <c r="AW256" s="3"/>
      <c r="AX256" s="3"/>
      <c r="AY256" s="3"/>
      <c r="BG256">
        <v>0</v>
      </c>
      <c r="BH256" s="3" t="str">
        <f>""</f>
        <v/>
      </c>
      <c r="BN256" s="3"/>
    </row>
    <row r="257" spans="1:66" ht="12.95" customHeight="1">
      <c r="A257" s="1164"/>
      <c r="B257" s="3"/>
      <c r="C257" s="3"/>
      <c r="D257" s="3" t="s">
        <v>1091</v>
      </c>
      <c r="E257" s="3"/>
      <c r="F257" s="3"/>
      <c r="M257" s="1659" t="s">
        <v>1092</v>
      </c>
      <c r="N257" s="1659"/>
      <c r="O257" s="1659"/>
      <c r="P257" s="1659"/>
      <c r="Q257" s="1659"/>
      <c r="R257" s="1659"/>
      <c r="S257" s="1659"/>
      <c r="T257" s="1659"/>
      <c r="U257" s="1659"/>
      <c r="V257" s="1659"/>
      <c r="W257" s="1659"/>
      <c r="X257" s="1659"/>
      <c r="Y257" s="1659"/>
      <c r="Z257" s="1659"/>
      <c r="AA257" s="1659"/>
      <c r="AB257" s="1659"/>
      <c r="AC257" s="1659"/>
      <c r="AD257" s="1659"/>
      <c r="AE257" s="1659"/>
      <c r="AG257" s="3"/>
      <c r="AH257" s="3"/>
      <c r="AI257" s="3"/>
      <c r="AJ257" s="3"/>
      <c r="AK257" s="3"/>
      <c r="AL257" s="3"/>
      <c r="AM257" s="3"/>
      <c r="AN257" s="3"/>
      <c r="AO257" s="3"/>
      <c r="AP257" s="3"/>
      <c r="AQ257" s="3"/>
      <c r="AR257" s="3"/>
      <c r="AS257" s="3"/>
      <c r="AT257" s="3"/>
      <c r="BN257" s="3"/>
    </row>
    <row r="258" spans="1:66" ht="12.95" customHeight="1">
      <c r="A258" s="12"/>
      <c r="B258" s="3"/>
      <c r="C258" s="48"/>
      <c r="D258" s="3" t="s">
        <v>1111</v>
      </c>
      <c r="E258" s="3"/>
      <c r="F258" s="3"/>
      <c r="G258" s="3"/>
      <c r="H258" s="3"/>
      <c r="I258" s="3"/>
      <c r="J258" s="3"/>
      <c r="K258" s="3"/>
      <c r="L258" s="3"/>
      <c r="M258" s="1350" t="s">
        <v>1104</v>
      </c>
      <c r="N258" s="1350"/>
      <c r="O258" s="1350"/>
      <c r="P258" s="1350"/>
      <c r="Q258" s="1350"/>
      <c r="R258" s="1350"/>
      <c r="S258" s="1350"/>
      <c r="T258" s="1350"/>
      <c r="U258" s="136" t="s">
        <v>1094</v>
      </c>
      <c r="V258" s="136"/>
      <c r="W258" s="136"/>
      <c r="X258" s="136"/>
      <c r="Y258" s="136"/>
      <c r="Z258" s="136"/>
      <c r="AA258" s="1651" t="s">
        <v>1095</v>
      </c>
      <c r="AB258" s="1651"/>
      <c r="AC258" s="1651"/>
      <c r="AD258" s="1651"/>
      <c r="AE258" s="1651"/>
      <c r="AF258" s="1651"/>
      <c r="AG258" s="1651"/>
      <c r="AH258" s="1651"/>
      <c r="AI258" s="1651"/>
      <c r="AJ258" s="1651"/>
      <c r="AK258" s="1651"/>
      <c r="BN258" s="3"/>
    </row>
    <row r="259" spans="1:66" ht="12.95" customHeight="1">
      <c r="A259" s="1164"/>
      <c r="B259" s="3"/>
      <c r="C259" s="3"/>
      <c r="D259" s="3"/>
      <c r="E259" s="3"/>
      <c r="F259" s="3"/>
      <c r="G259" s="3"/>
      <c r="H259" s="3"/>
      <c r="I259" s="3"/>
      <c r="J259" s="3"/>
      <c r="K259" s="3"/>
      <c r="L259" s="3"/>
      <c r="AG259" s="3"/>
      <c r="AH259" s="3"/>
      <c r="AI259" s="3"/>
      <c r="AJ259" s="3"/>
      <c r="BN259" s="3"/>
    </row>
    <row r="260" spans="1:66" ht="12.95" customHeight="1">
      <c r="A260" s="2"/>
      <c r="B260" s="3"/>
      <c r="C260" s="48" t="s">
        <v>1112</v>
      </c>
      <c r="D260" s="3" t="s">
        <v>1113</v>
      </c>
      <c r="E260" s="3"/>
      <c r="F260" s="3"/>
      <c r="G260" s="3"/>
      <c r="H260" s="3"/>
      <c r="I260" s="3"/>
      <c r="J260" s="3"/>
      <c r="K260" s="3"/>
      <c r="L260" s="3"/>
      <c r="M260" s="1407"/>
      <c r="N260" s="1407"/>
      <c r="O260" s="1407"/>
      <c r="P260" s="1407"/>
      <c r="Q260" s="1407"/>
      <c r="R260" s="1407"/>
      <c r="S260" s="1407"/>
      <c r="T260" s="1407"/>
      <c r="U260" s="1407"/>
      <c r="V260" s="1407"/>
      <c r="W260" s="1407"/>
      <c r="X260" s="1407"/>
      <c r="Y260" s="1407"/>
      <c r="Z260" s="1407"/>
      <c r="AA260" s="1407"/>
      <c r="AB260" s="1407"/>
      <c r="AC260" s="1407"/>
      <c r="AD260" s="1407"/>
      <c r="AE260" s="1407"/>
      <c r="AF260" s="1407" t="str">
        <f>[1]Application!AF251</f>
        <v>(select one)</v>
      </c>
      <c r="AG260" s="1407"/>
      <c r="AH260" s="1407"/>
      <c r="AI260" s="1407"/>
      <c r="AJ260" s="1407"/>
      <c r="AK260" s="1407"/>
      <c r="AU260" s="3"/>
      <c r="AV260" s="3"/>
      <c r="AW260" s="3"/>
      <c r="AX260" s="3"/>
      <c r="AY260" s="3"/>
      <c r="BN260" s="3"/>
    </row>
    <row r="261" spans="1:66" ht="12.95" customHeight="1">
      <c r="A261" s="1164"/>
      <c r="B261" s="3"/>
      <c r="C261" s="3"/>
      <c r="D261" s="3" t="s">
        <v>1083</v>
      </c>
      <c r="E261" s="3"/>
      <c r="F261" s="3"/>
      <c r="G261" s="3"/>
      <c r="H261" s="3"/>
      <c r="I261" s="3"/>
      <c r="J261" s="3"/>
      <c r="K261" s="3"/>
      <c r="L261" s="3"/>
      <c r="M261" s="1405"/>
      <c r="N261" s="1405"/>
      <c r="O261" s="1405"/>
      <c r="P261" s="1405"/>
      <c r="Q261" s="1405"/>
      <c r="R261" s="1405"/>
      <c r="S261" s="1405"/>
      <c r="T261" s="1405"/>
      <c r="U261" s="1405"/>
      <c r="V261" s="1405"/>
      <c r="W261" s="1405"/>
      <c r="X261" s="1405"/>
      <c r="Y261" s="1405"/>
      <c r="Z261" s="1405"/>
      <c r="AA261" s="1405"/>
      <c r="AB261" s="1405"/>
      <c r="AC261" s="1405"/>
      <c r="AD261" s="1405"/>
      <c r="AE261" s="1405"/>
      <c r="AF261" s="3" t="s">
        <v>1103</v>
      </c>
      <c r="AL261" s="3"/>
      <c r="AM261" s="3"/>
      <c r="AN261" s="3"/>
      <c r="AO261" s="3"/>
      <c r="AP261" s="3"/>
      <c r="AQ261" s="3"/>
      <c r="AR261" s="3"/>
      <c r="AS261" s="3"/>
      <c r="AT261" s="3"/>
      <c r="BN261" s="3"/>
    </row>
    <row r="262" spans="1:66" ht="12.95" customHeight="1">
      <c r="A262" s="1164"/>
      <c r="B262" s="3"/>
      <c r="C262" s="3"/>
      <c r="D262" s="3" t="s">
        <v>947</v>
      </c>
      <c r="E262" s="3"/>
      <c r="M262" s="1405"/>
      <c r="N262" s="1405"/>
      <c r="O262" s="1405"/>
      <c r="P262" s="1405"/>
      <c r="Q262" s="1405"/>
      <c r="R262" s="1405"/>
      <c r="S262" s="1405"/>
      <c r="T262" s="1405"/>
      <c r="V262" s="918" t="s">
        <v>1085</v>
      </c>
      <c r="W262" s="1274"/>
      <c r="X262" s="1274"/>
      <c r="Y262" s="3" t="s">
        <v>952</v>
      </c>
      <c r="AC262" s="1405"/>
      <c r="AD262" s="1405"/>
      <c r="AE262" s="1405"/>
      <c r="AF262" s="3" t="s">
        <v>1106</v>
      </c>
      <c r="AU262" s="3"/>
      <c r="AV262" s="3"/>
      <c r="AW262" s="3"/>
      <c r="AX262" s="3"/>
      <c r="AY262" s="3"/>
      <c r="BN262" s="3"/>
    </row>
    <row r="263" spans="1:66" ht="12.95" customHeight="1">
      <c r="A263" s="1164"/>
      <c r="B263" s="3"/>
      <c r="C263" s="3"/>
      <c r="D263" s="3" t="s">
        <v>1086</v>
      </c>
      <c r="E263" s="3"/>
      <c r="F263" s="3"/>
      <c r="G263" s="3"/>
      <c r="H263" s="3"/>
      <c r="I263" s="3"/>
      <c r="J263" s="3"/>
      <c r="K263" s="3"/>
      <c r="L263" s="1164"/>
      <c r="M263" s="1405"/>
      <c r="N263" s="1405"/>
      <c r="O263" s="1405"/>
      <c r="P263" s="1405"/>
      <c r="Q263" s="1405"/>
      <c r="R263" s="1405"/>
      <c r="S263" s="1405"/>
      <c r="T263" s="1405"/>
      <c r="U263" s="1405"/>
      <c r="V263" s="1405"/>
      <c r="W263" s="1405"/>
      <c r="X263" s="1405"/>
      <c r="Y263" s="1405"/>
      <c r="Z263" s="1405"/>
      <c r="AA263" s="1405"/>
      <c r="AB263" s="1405"/>
      <c r="AC263" s="1405"/>
      <c r="AD263" s="1405"/>
      <c r="AE263" s="1405"/>
      <c r="AH263" s="1653"/>
      <c r="AI263" s="1653"/>
      <c r="AJ263" s="1653"/>
      <c r="AK263" s="1653"/>
      <c r="AL263" s="3"/>
      <c r="AM263" s="3"/>
      <c r="AN263" s="3"/>
      <c r="AO263" s="3"/>
      <c r="AP263" s="3"/>
      <c r="AQ263" s="3"/>
      <c r="AR263" s="3"/>
      <c r="AS263" s="3"/>
      <c r="AT263" s="3"/>
    </row>
    <row r="264" spans="1:66" ht="12.95" customHeight="1">
      <c r="A264" s="1164"/>
      <c r="B264" s="3"/>
      <c r="C264" s="3"/>
      <c r="D264" s="3" t="s">
        <v>1087</v>
      </c>
      <c r="E264" s="3"/>
      <c r="F264" s="3"/>
      <c r="M264" s="1334"/>
      <c r="N264" s="1334"/>
      <c r="O264" s="1334"/>
      <c r="P264" s="1334"/>
      <c r="Q264" s="1334"/>
      <c r="R264" s="1334"/>
      <c r="S264" s="3" t="s">
        <v>1088</v>
      </c>
      <c r="T264" s="3"/>
      <c r="U264" s="1274"/>
      <c r="V264" s="1274"/>
      <c r="W264" s="1274"/>
      <c r="X264" s="3" t="s">
        <v>1089</v>
      </c>
      <c r="Z264" s="1334">
        <f>[1]Application!Z255</f>
        <v>0</v>
      </c>
      <c r="AA264" s="1334"/>
      <c r="AB264" s="1334"/>
      <c r="AC264" s="1334"/>
      <c r="AD264" s="1334"/>
      <c r="AE264" s="1334"/>
      <c r="AU264" s="3"/>
      <c r="AV264" s="3"/>
      <c r="AW264" s="3"/>
      <c r="AX264" s="3"/>
      <c r="AY264" s="3"/>
      <c r="BN264" s="3"/>
    </row>
    <row r="265" spans="1:66" ht="12.95" customHeight="1">
      <c r="A265" s="1164"/>
      <c r="B265" s="3"/>
      <c r="C265" s="3"/>
      <c r="D265" s="3" t="s">
        <v>1091</v>
      </c>
      <c r="E265" s="3"/>
      <c r="F265" s="3"/>
      <c r="M265" s="1659"/>
      <c r="N265" s="1659"/>
      <c r="O265" s="1659"/>
      <c r="P265" s="1659"/>
      <c r="Q265" s="1659"/>
      <c r="R265" s="1659"/>
      <c r="S265" s="1659"/>
      <c r="T265" s="1659"/>
      <c r="U265" s="1659"/>
      <c r="V265" s="1659"/>
      <c r="W265" s="1659"/>
      <c r="X265" s="1659"/>
      <c r="Y265" s="1659"/>
      <c r="Z265" s="1659"/>
      <c r="AA265" s="1659"/>
      <c r="AB265" s="1659"/>
      <c r="AC265" s="1659"/>
      <c r="AD265" s="1659"/>
      <c r="AE265" s="1659"/>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1111</v>
      </c>
      <c r="E266" s="3"/>
      <c r="F266" s="3"/>
      <c r="G266" s="3"/>
      <c r="H266" s="3"/>
      <c r="I266" s="3"/>
      <c r="J266" s="3"/>
      <c r="K266" s="3"/>
      <c r="L266" s="3"/>
      <c r="M266" s="1350"/>
      <c r="N266" s="1350"/>
      <c r="O266" s="1350"/>
      <c r="P266" s="1350"/>
      <c r="Q266" s="1350"/>
      <c r="R266" s="1350"/>
      <c r="S266" s="1350"/>
      <c r="T266" s="1350"/>
      <c r="U266" s="136" t="s">
        <v>1094</v>
      </c>
      <c r="V266" s="136"/>
      <c r="W266" s="136"/>
      <c r="X266" s="136"/>
      <c r="Y266" s="136"/>
      <c r="Z266" s="136"/>
      <c r="AA266" s="1651">
        <f>[1]Application!AA257</f>
        <v>0</v>
      </c>
      <c r="AB266" s="1651"/>
      <c r="AC266" s="1651"/>
      <c r="AD266" s="1651"/>
      <c r="AE266" s="1651"/>
      <c r="AF266" s="1651"/>
      <c r="AG266" s="1651"/>
      <c r="AH266" s="1651"/>
      <c r="AI266" s="1651"/>
      <c r="AJ266" s="1651"/>
      <c r="AK266" s="1651"/>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1114</v>
      </c>
      <c r="D268" s="3" t="s">
        <v>1100</v>
      </c>
      <c r="E268" s="3"/>
      <c r="F268" s="3"/>
      <c r="G268" s="3"/>
      <c r="H268" s="3"/>
      <c r="I268" s="3"/>
      <c r="J268" s="3"/>
      <c r="K268" s="3"/>
      <c r="L268" s="3"/>
      <c r="M268" s="1407"/>
      <c r="N268" s="1407"/>
      <c r="O268" s="1407"/>
      <c r="P268" s="1407"/>
      <c r="Q268" s="1407"/>
      <c r="R268" s="1407"/>
      <c r="S268" s="1407"/>
      <c r="T268" s="1407"/>
      <c r="U268" s="1407"/>
      <c r="V268" s="1407"/>
      <c r="W268" s="1407"/>
      <c r="X268" s="1407"/>
      <c r="Y268" s="1407"/>
      <c r="Z268" s="1407"/>
      <c r="AA268" s="1407"/>
      <c r="AB268" s="1407"/>
      <c r="AC268" s="1407"/>
      <c r="AD268" s="1407"/>
      <c r="AE268" s="1407"/>
      <c r="AF268" s="1407" t="str">
        <f>[1]Application!AF259</f>
        <v>(select one)</v>
      </c>
      <c r="AG268" s="1407"/>
      <c r="AH268" s="1407"/>
      <c r="AI268" s="1407"/>
      <c r="AJ268" s="1407"/>
      <c r="AK268" s="1407"/>
      <c r="AL268" s="3"/>
      <c r="AM268" s="3"/>
      <c r="AN268" s="3"/>
      <c r="AO268" s="3"/>
      <c r="AP268" s="3"/>
      <c r="AQ268" s="3"/>
      <c r="AR268" s="3"/>
      <c r="AS268" s="3"/>
      <c r="AT268" s="3"/>
      <c r="AU268" s="3"/>
      <c r="AV268" s="3"/>
      <c r="AW268" s="3"/>
      <c r="AX268" s="3"/>
      <c r="AY268" s="3"/>
    </row>
    <row r="269" spans="1:66" ht="12.95" customHeight="1">
      <c r="A269" s="12"/>
      <c r="B269" s="3"/>
      <c r="C269" s="3"/>
      <c r="D269" s="3" t="s">
        <v>1083</v>
      </c>
      <c r="E269" s="3"/>
      <c r="F269" s="3"/>
      <c r="G269" s="3"/>
      <c r="H269" s="3"/>
      <c r="I269" s="3"/>
      <c r="J269" s="3"/>
      <c r="K269" s="3"/>
      <c r="L269" s="3"/>
      <c r="M269" s="1405"/>
      <c r="N269" s="1405"/>
      <c r="O269" s="1405"/>
      <c r="P269" s="1405"/>
      <c r="Q269" s="1405"/>
      <c r="R269" s="1405"/>
      <c r="S269" s="1405"/>
      <c r="T269" s="1405"/>
      <c r="U269" s="1405"/>
      <c r="V269" s="1405"/>
      <c r="W269" s="1405"/>
      <c r="X269" s="1405"/>
      <c r="Y269" s="1405"/>
      <c r="Z269" s="1405"/>
      <c r="AA269" s="1405"/>
      <c r="AB269" s="1405"/>
      <c r="AC269" s="1405"/>
      <c r="AD269" s="1405"/>
      <c r="AE269" s="1405"/>
      <c r="AF269" s="3" t="s">
        <v>1103</v>
      </c>
      <c r="AL269" s="3"/>
      <c r="AM269" s="3"/>
      <c r="AN269" s="3"/>
      <c r="AO269" s="3"/>
      <c r="AP269" s="3"/>
      <c r="AQ269" s="3"/>
      <c r="AR269" s="3"/>
      <c r="AS269" s="3"/>
      <c r="AT269" s="3"/>
      <c r="AU269" s="3"/>
      <c r="AV269" s="3"/>
      <c r="AW269" s="3"/>
      <c r="AX269" s="3"/>
      <c r="AY269" s="3"/>
    </row>
    <row r="270" spans="1:66" ht="12.95" customHeight="1">
      <c r="A270" s="12"/>
      <c r="B270" s="3"/>
      <c r="C270" s="3"/>
      <c r="D270" s="3" t="s">
        <v>947</v>
      </c>
      <c r="E270" s="3"/>
      <c r="M270" s="1405"/>
      <c r="N270" s="1405"/>
      <c r="O270" s="1405"/>
      <c r="P270" s="1405"/>
      <c r="Q270" s="1405"/>
      <c r="R270" s="1405"/>
      <c r="S270" s="1405"/>
      <c r="T270" s="1405"/>
      <c r="V270" s="918" t="s">
        <v>1085</v>
      </c>
      <c r="W270" s="1274"/>
      <c r="X270" s="1274"/>
      <c r="Y270" s="3" t="s">
        <v>952</v>
      </c>
      <c r="AC270" s="1405"/>
      <c r="AD270" s="1405"/>
      <c r="AE270" s="1405"/>
      <c r="AF270" s="3" t="s">
        <v>1106</v>
      </c>
      <c r="AL270" s="3"/>
      <c r="AM270" s="3"/>
      <c r="AN270" s="3"/>
      <c r="AO270" s="3"/>
      <c r="AP270" s="3"/>
      <c r="AQ270" s="3"/>
      <c r="AR270" s="3"/>
      <c r="AS270" s="3"/>
      <c r="AT270" s="3"/>
      <c r="AU270" s="3"/>
      <c r="AV270" s="3"/>
      <c r="AW270" s="3"/>
      <c r="AX270" s="3"/>
      <c r="AY270" s="3"/>
    </row>
    <row r="271" spans="1:66" ht="12.95" customHeight="1">
      <c r="A271" s="12"/>
      <c r="B271" s="3"/>
      <c r="C271" s="3"/>
      <c r="D271" s="3" t="s">
        <v>1086</v>
      </c>
      <c r="E271" s="3"/>
      <c r="F271" s="3"/>
      <c r="G271" s="3"/>
      <c r="H271" s="3"/>
      <c r="I271" s="3"/>
      <c r="J271" s="3"/>
      <c r="K271" s="3"/>
      <c r="L271" s="1164"/>
      <c r="M271" s="1405"/>
      <c r="N271" s="1405"/>
      <c r="O271" s="1405"/>
      <c r="P271" s="1405"/>
      <c r="Q271" s="1405"/>
      <c r="R271" s="1405"/>
      <c r="S271" s="1405"/>
      <c r="T271" s="1405"/>
      <c r="U271" s="1405"/>
      <c r="V271" s="1405"/>
      <c r="W271" s="1405"/>
      <c r="X271" s="1405"/>
      <c r="Y271" s="1405"/>
      <c r="Z271" s="1405"/>
      <c r="AA271" s="1405"/>
      <c r="AB271" s="1405"/>
      <c r="AC271" s="1405"/>
      <c r="AD271" s="1405"/>
      <c r="AE271" s="1405"/>
      <c r="AH271" s="1653"/>
      <c r="AI271" s="1653"/>
      <c r="AJ271" s="1653"/>
      <c r="AK271" s="1653"/>
      <c r="AL271" s="3"/>
      <c r="AM271" s="3"/>
      <c r="AN271" s="3"/>
      <c r="AO271" s="3"/>
      <c r="AP271" s="3"/>
      <c r="AQ271" s="3"/>
      <c r="AR271" s="3"/>
      <c r="AS271" s="3"/>
      <c r="AT271" s="3"/>
      <c r="AU271" s="3"/>
      <c r="AV271" s="3"/>
      <c r="AW271" s="3"/>
      <c r="AX271" s="3"/>
      <c r="AY271" s="3"/>
    </row>
    <row r="272" spans="1:66" ht="12.95" customHeight="1">
      <c r="A272" s="12"/>
      <c r="B272" s="3"/>
      <c r="C272" s="3"/>
      <c r="D272" s="3" t="s">
        <v>1087</v>
      </c>
      <c r="E272" s="3"/>
      <c r="F272" s="3"/>
      <c r="M272" s="1334"/>
      <c r="N272" s="1334"/>
      <c r="O272" s="1334"/>
      <c r="P272" s="1334"/>
      <c r="Q272" s="1334"/>
      <c r="R272" s="1334"/>
      <c r="S272" s="3" t="s">
        <v>1088</v>
      </c>
      <c r="T272" s="3"/>
      <c r="U272" s="1274"/>
      <c r="V272" s="1274"/>
      <c r="W272" s="1274"/>
      <c r="X272" s="3" t="s">
        <v>1089</v>
      </c>
      <c r="Z272" s="1334">
        <f>[1]Application!Z263</f>
        <v>0</v>
      </c>
      <c r="AA272" s="1334"/>
      <c r="AB272" s="1334"/>
      <c r="AC272" s="1334"/>
      <c r="AD272" s="1334"/>
      <c r="AE272" s="1334"/>
      <c r="AL272" s="3"/>
      <c r="AM272" s="3"/>
      <c r="AN272" s="3"/>
      <c r="AO272" s="3"/>
      <c r="AP272" s="3"/>
      <c r="AQ272" s="3"/>
      <c r="AR272" s="3"/>
      <c r="AS272" s="3"/>
      <c r="AT272" s="3"/>
      <c r="AU272" s="3"/>
      <c r="AV272" s="3"/>
      <c r="AW272" s="3"/>
      <c r="AX272" s="3"/>
      <c r="AY272" s="3"/>
    </row>
    <row r="273" spans="1:51" ht="12.95" customHeight="1">
      <c r="A273" s="12"/>
      <c r="B273" s="3"/>
      <c r="C273" s="3"/>
      <c r="D273" s="3" t="s">
        <v>1091</v>
      </c>
      <c r="E273" s="3"/>
      <c r="F273" s="3"/>
      <c r="M273" s="1659"/>
      <c r="N273" s="1659"/>
      <c r="O273" s="1659"/>
      <c r="P273" s="1659"/>
      <c r="Q273" s="1659"/>
      <c r="R273" s="1659"/>
      <c r="S273" s="1659"/>
      <c r="T273" s="1659"/>
      <c r="U273" s="1659"/>
      <c r="V273" s="1659"/>
      <c r="W273" s="1659"/>
      <c r="X273" s="1659"/>
      <c r="Y273" s="1659"/>
      <c r="Z273" s="1659"/>
      <c r="AA273" s="1676"/>
      <c r="AB273" s="1676"/>
      <c r="AC273" s="1676"/>
      <c r="AD273" s="1676"/>
      <c r="AE273" s="1676"/>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1111</v>
      </c>
      <c r="E274" s="3"/>
      <c r="F274" s="3"/>
      <c r="G274" s="3"/>
      <c r="H274" s="3"/>
      <c r="I274" s="3"/>
      <c r="J274" s="3"/>
      <c r="K274" s="3"/>
      <c r="L274" s="3"/>
      <c r="M274" s="1350"/>
      <c r="N274" s="1350"/>
      <c r="O274" s="1350"/>
      <c r="P274" s="1350"/>
      <c r="Q274" s="1350"/>
      <c r="R274" s="1350"/>
      <c r="S274" s="1350"/>
      <c r="T274" s="1350"/>
      <c r="U274" s="136" t="s">
        <v>1094</v>
      </c>
      <c r="V274" s="136"/>
      <c r="W274" s="136"/>
      <c r="X274" s="136"/>
      <c r="Y274" s="136"/>
      <c r="Z274" s="136"/>
      <c r="AA274" s="1652">
        <f>[1]Application!AA265</f>
        <v>0</v>
      </c>
      <c r="AB274" s="1652"/>
      <c r="AC274" s="1652"/>
      <c r="AD274" s="1652"/>
      <c r="AE274" s="1652"/>
      <c r="AF274" s="1652"/>
      <c r="AG274" s="1652"/>
      <c r="AH274" s="1652"/>
      <c r="AI274" s="1652"/>
      <c r="AJ274" s="1652"/>
      <c r="AK274" s="1652"/>
      <c r="AL274" s="3"/>
      <c r="AM274" s="3"/>
      <c r="AN274" s="3"/>
      <c r="AO274" s="3"/>
      <c r="AP274" s="3"/>
      <c r="AQ274" s="3"/>
      <c r="AR274" s="3"/>
      <c r="AS274" s="3"/>
      <c r="AT274" s="3"/>
    </row>
    <row r="275" spans="1:51" ht="12.95" customHeight="1">
      <c r="A275" s="1164"/>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1037</v>
      </c>
      <c r="B276" s="3"/>
      <c r="C276" s="2" t="s">
        <v>1115</v>
      </c>
      <c r="D276" s="3"/>
      <c r="E276" s="3"/>
      <c r="F276" s="3"/>
      <c r="G276" s="3"/>
      <c r="H276" s="3"/>
      <c r="I276" s="3"/>
      <c r="J276" s="3"/>
      <c r="K276" s="3"/>
      <c r="L276" s="3"/>
      <c r="M276" s="84"/>
      <c r="N276" s="84"/>
      <c r="O276" s="84"/>
      <c r="P276" s="84"/>
      <c r="Q276" s="84"/>
      <c r="T276" s="1654" t="str">
        <f>IFERROR(BO254,"")</f>
        <v/>
      </c>
      <c r="U276" s="1654"/>
      <c r="V276" s="1654"/>
      <c r="W276" s="1654"/>
      <c r="X276" s="1654"/>
      <c r="Z276" s="214" t="s">
        <v>1116</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1117</v>
      </c>
      <c r="AF277" s="3"/>
      <c r="AG277" s="3"/>
      <c r="AH277" s="3"/>
      <c r="AI277" s="3"/>
      <c r="AJ277" s="3"/>
      <c r="AL277" s="56"/>
    </row>
    <row r="278" spans="1:51" ht="12.95" customHeight="1">
      <c r="A278" s="2" t="s">
        <v>1064</v>
      </c>
      <c r="B278" s="3"/>
      <c r="C278" s="2" t="s">
        <v>124</v>
      </c>
      <c r="D278" s="3"/>
      <c r="E278" s="3"/>
      <c r="F278" s="3"/>
      <c r="G278" s="3"/>
      <c r="H278" s="3"/>
      <c r="I278" s="3"/>
      <c r="J278" s="3"/>
      <c r="K278" s="3"/>
      <c r="L278" s="3"/>
      <c r="M278" s="3"/>
      <c r="N278" s="3"/>
      <c r="O278" s="3"/>
      <c r="P278" s="3"/>
      <c r="Q278" s="3"/>
      <c r="R278" s="3"/>
      <c r="S278" s="3"/>
      <c r="T278" s="3"/>
      <c r="U278" s="3"/>
      <c r="V278" s="3"/>
      <c r="W278" s="3"/>
      <c r="Z278" s="218" t="s">
        <v>1118</v>
      </c>
      <c r="AA278" s="40"/>
      <c r="AB278" s="40"/>
      <c r="AC278" s="40"/>
      <c r="AD278" s="40"/>
      <c r="AE278" s="40"/>
      <c r="AF278" s="788"/>
      <c r="AG278" s="788"/>
      <c r="AH278" s="788"/>
      <c r="AI278" s="788"/>
      <c r="AJ278" s="788"/>
      <c r="AK278" s="40"/>
      <c r="AL278" s="41"/>
    </row>
    <row r="279" spans="1:51" ht="12.95" customHeight="1">
      <c r="A279" s="3"/>
      <c r="B279" s="28">
        <v>0</v>
      </c>
      <c r="D279" s="1405" t="str">
        <f>[1]Application!D270</f>
        <v>currently exists</v>
      </c>
      <c r="E279" s="1405"/>
      <c r="F279" s="1405"/>
      <c r="G279" s="1405"/>
      <c r="H279" s="1405"/>
      <c r="J279" t="s">
        <v>1119</v>
      </c>
      <c r="X279" s="1604">
        <f>[1]Application!X270</f>
        <v>0</v>
      </c>
      <c r="Y279" s="1604"/>
      <c r="Z279" s="1604"/>
      <c r="AA279" s="1604"/>
      <c r="AB279" s="1604"/>
      <c r="AC279" s="1604"/>
      <c r="AU279" s="3"/>
      <c r="AV279" s="3"/>
      <c r="AW279" s="3"/>
      <c r="AX279" s="3"/>
      <c r="AY279" s="3"/>
    </row>
    <row r="280" spans="1:51" ht="12.95" customHeight="1">
      <c r="A280" s="3"/>
      <c r="B280" s="1164"/>
      <c r="D280" s="29" t="s">
        <v>1120</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1121</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1122</v>
      </c>
      <c r="E283" s="3"/>
      <c r="F283" s="3"/>
      <c r="G283" s="3"/>
      <c r="H283" s="3"/>
      <c r="I283" s="3"/>
      <c r="J283" s="3"/>
      <c r="K283" s="3"/>
      <c r="L283" s="1407" t="s">
        <v>1095</v>
      </c>
      <c r="M283" s="1407"/>
      <c r="N283" s="1407"/>
      <c r="O283" s="1407"/>
      <c r="P283" s="1407"/>
      <c r="Q283" s="1407"/>
      <c r="R283" s="1407"/>
      <c r="S283" s="1407"/>
      <c r="T283" s="1407"/>
      <c r="U283" s="1407"/>
      <c r="V283" s="1407"/>
      <c r="W283" s="1407"/>
      <c r="X283" s="1407"/>
      <c r="Y283" s="1407"/>
      <c r="Z283" s="1407"/>
      <c r="AA283" s="1407"/>
      <c r="AB283" s="1407"/>
      <c r="AC283" s="1407"/>
      <c r="AD283" s="1407"/>
      <c r="AE283" s="1407"/>
      <c r="AF283" s="1407"/>
      <c r="AG283" s="1407"/>
      <c r="AH283" s="1407"/>
      <c r="AI283" s="1407"/>
      <c r="AJ283" s="1407"/>
      <c r="AK283" s="3"/>
      <c r="AL283" s="3"/>
      <c r="AM283" s="3"/>
      <c r="AN283" s="3"/>
      <c r="AO283" s="3"/>
      <c r="AP283" s="3"/>
      <c r="AQ283" s="3"/>
      <c r="AR283" s="3"/>
      <c r="AS283" s="3"/>
      <c r="AT283" s="3"/>
      <c r="AU283" s="3"/>
      <c r="AV283" s="3"/>
      <c r="AW283" s="3"/>
      <c r="AX283" s="3"/>
      <c r="AY283" s="3"/>
    </row>
    <row r="284" spans="1:51" ht="12.95" customHeight="1">
      <c r="D284" s="3" t="s">
        <v>1083</v>
      </c>
      <c r="E284" s="3"/>
      <c r="F284" s="3"/>
      <c r="G284" s="3"/>
      <c r="H284" s="3"/>
      <c r="I284" s="3"/>
      <c r="J284" s="3"/>
      <c r="K284" s="3"/>
      <c r="L284" s="1405" t="s">
        <v>1084</v>
      </c>
      <c r="M284" s="1405"/>
      <c r="N284" s="1405"/>
      <c r="O284" s="1405"/>
      <c r="P284" s="1405"/>
      <c r="Q284" s="1405"/>
      <c r="R284" s="1405"/>
      <c r="S284" s="1405"/>
      <c r="T284" s="1405"/>
      <c r="U284" s="1405"/>
      <c r="V284" s="1405"/>
      <c r="W284" s="1405"/>
      <c r="X284" s="1405"/>
      <c r="Y284" s="1405"/>
      <c r="Z284" s="1405"/>
      <c r="AA284" s="1405"/>
      <c r="AB284" s="1405"/>
      <c r="AC284" s="1405"/>
      <c r="AD284" s="1405"/>
      <c r="AK284" s="3"/>
      <c r="AL284" s="3"/>
      <c r="AM284" s="3"/>
      <c r="AN284" s="3"/>
      <c r="AO284" s="3"/>
      <c r="AP284" s="3"/>
      <c r="AQ284" s="3"/>
      <c r="AR284" s="3"/>
      <c r="AS284" s="3"/>
      <c r="AT284" s="3"/>
      <c r="AU284" s="3"/>
      <c r="AV284" s="3"/>
      <c r="AW284" s="3"/>
      <c r="AX284" s="3"/>
      <c r="AY284" s="3"/>
    </row>
    <row r="285" spans="1:51" ht="12.95" customHeight="1">
      <c r="D285" s="3" t="s">
        <v>947</v>
      </c>
      <c r="E285" s="3"/>
      <c r="L285" s="1405" t="s">
        <v>802</v>
      </c>
      <c r="M285" s="1405"/>
      <c r="N285" s="1405"/>
      <c r="O285" s="1405"/>
      <c r="P285" s="1405"/>
      <c r="Q285" s="1405"/>
      <c r="R285" s="1405"/>
      <c r="S285" s="1405"/>
      <c r="U285" s="918" t="s">
        <v>1085</v>
      </c>
      <c r="V285" s="1274" t="s">
        <v>1105</v>
      </c>
      <c r="W285" s="1274"/>
      <c r="X285" s="3" t="s">
        <v>952</v>
      </c>
      <c r="AB285" s="1405">
        <v>94901</v>
      </c>
      <c r="AC285" s="1405"/>
      <c r="AD285" s="1405"/>
      <c r="AK285" s="3"/>
      <c r="AL285" s="3"/>
      <c r="AM285" s="3"/>
      <c r="AN285" s="3"/>
      <c r="AO285" s="3"/>
      <c r="AP285" s="3"/>
      <c r="AQ285" s="3"/>
      <c r="AR285" s="3"/>
      <c r="AS285" s="3"/>
      <c r="AT285" s="3"/>
      <c r="AU285" s="3"/>
      <c r="AV285" s="3"/>
      <c r="AW285" s="3"/>
      <c r="AX285" s="3"/>
      <c r="AY285" s="3"/>
    </row>
    <row r="286" spans="1:51" ht="12.95" customHeight="1">
      <c r="D286" s="3" t="s">
        <v>1086</v>
      </c>
      <c r="E286" s="3"/>
      <c r="F286" s="3"/>
      <c r="G286" s="3"/>
      <c r="H286" s="3"/>
      <c r="I286" s="3"/>
      <c r="J286" s="3"/>
      <c r="K286" s="1164"/>
      <c r="L286" s="1405" t="s">
        <v>1123</v>
      </c>
      <c r="M286" s="1405"/>
      <c r="N286" s="1405"/>
      <c r="O286" s="1405"/>
      <c r="P286" s="1405"/>
      <c r="Q286" s="1405"/>
      <c r="R286" s="1405"/>
      <c r="S286" s="1405"/>
      <c r="T286" s="1405"/>
      <c r="U286" s="1405"/>
      <c r="V286" s="1405"/>
      <c r="W286" s="1405"/>
      <c r="X286" s="1405"/>
      <c r="Y286" s="1405"/>
      <c r="Z286" s="1405"/>
      <c r="AA286" s="1405"/>
      <c r="AB286" s="1405"/>
      <c r="AC286" s="1405"/>
      <c r="AD286" s="1405"/>
      <c r="AI286" s="3"/>
      <c r="AJ286" s="3"/>
      <c r="AK286" s="3"/>
      <c r="AL286" s="3"/>
      <c r="AM286" s="3"/>
      <c r="AN286" s="3"/>
      <c r="AO286" s="3"/>
      <c r="AP286" s="3"/>
      <c r="AQ286" s="3"/>
      <c r="AR286" s="3"/>
      <c r="AS286" s="3"/>
      <c r="AT286" s="3"/>
    </row>
    <row r="287" spans="1:51" ht="12.95" customHeight="1">
      <c r="D287" s="3" t="s">
        <v>1087</v>
      </c>
      <c r="E287" s="3"/>
      <c r="F287" s="3"/>
      <c r="L287" s="1334" t="s">
        <v>1124</v>
      </c>
      <c r="M287" s="1334"/>
      <c r="N287" s="1334"/>
      <c r="O287" s="1334"/>
      <c r="P287" s="1334"/>
      <c r="Q287" s="1334"/>
      <c r="R287" s="3" t="s">
        <v>1088</v>
      </c>
      <c r="S287" s="3"/>
      <c r="T287" s="1274"/>
      <c r="U287" s="1274"/>
      <c r="V287" s="1274"/>
      <c r="W287" s="3" t="s">
        <v>1089</v>
      </c>
      <c r="Y287" s="1334">
        <f>[1]Application!Y278</f>
        <v>0</v>
      </c>
      <c r="Z287" s="1334"/>
      <c r="AA287" s="1334"/>
      <c r="AB287" s="1334"/>
      <c r="AC287" s="1334"/>
      <c r="AD287" s="1334"/>
    </row>
    <row r="288" spans="1:51" ht="12.95" customHeight="1">
      <c r="D288" s="3" t="s">
        <v>1091</v>
      </c>
      <c r="E288" s="3"/>
      <c r="F288" s="3"/>
      <c r="L288" s="1659" t="s">
        <v>1125</v>
      </c>
      <c r="M288" s="1659"/>
      <c r="N288" s="1659"/>
      <c r="O288" s="1659"/>
      <c r="P288" s="1659"/>
      <c r="Q288" s="1659"/>
      <c r="R288" s="1659"/>
      <c r="S288" s="1659"/>
      <c r="T288" s="1659"/>
      <c r="U288" s="1659"/>
      <c r="V288" s="1659"/>
      <c r="W288" s="1659"/>
      <c r="X288" s="1659"/>
      <c r="Y288" s="1659"/>
      <c r="Z288" s="1659"/>
      <c r="AA288" s="1659"/>
      <c r="AB288" s="1659"/>
      <c r="AC288" s="1659"/>
      <c r="AD288" s="1659"/>
      <c r="AF288" s="3"/>
      <c r="AG288" s="3"/>
      <c r="AH288" s="3"/>
      <c r="AI288" s="3"/>
      <c r="AJ288" s="3"/>
      <c r="AU288" s="3"/>
      <c r="AV288" s="3"/>
      <c r="AW288" s="3"/>
      <c r="AX288" s="3"/>
      <c r="AY288" s="3"/>
    </row>
    <row r="289" spans="1:51" ht="12.95" customHeight="1">
      <c r="D289" s="3" t="s">
        <v>1126</v>
      </c>
      <c r="E289" s="3"/>
      <c r="F289" s="3"/>
      <c r="G289" s="3"/>
      <c r="H289" s="3"/>
      <c r="I289" s="3"/>
      <c r="L289" s="1274" t="str">
        <f>[1]Application!L280</f>
        <v>Senior Project Manager</v>
      </c>
      <c r="M289" s="1274"/>
      <c r="N289" s="1274"/>
      <c r="O289" s="1274"/>
      <c r="P289" s="1274"/>
      <c r="Q289" s="1274"/>
      <c r="R289" s="1274"/>
      <c r="S289" s="1274"/>
      <c r="T289" s="1274"/>
      <c r="U289" s="1274"/>
      <c r="V289" s="1274"/>
      <c r="W289" s="1274"/>
      <c r="X289" s="1274"/>
      <c r="Y289" s="1274"/>
      <c r="Z289" s="1274"/>
      <c r="AA289" s="1274"/>
      <c r="AB289" s="1274"/>
      <c r="AC289" s="1274"/>
      <c r="AD289" s="1274"/>
      <c r="AK289" s="3"/>
      <c r="AL289" s="3"/>
      <c r="AM289" s="3"/>
      <c r="AN289" s="3"/>
      <c r="AO289" s="3"/>
      <c r="AP289" s="3"/>
      <c r="AQ289" s="3"/>
      <c r="AR289" s="3"/>
      <c r="AS289" s="3"/>
      <c r="AT289" s="3"/>
    </row>
    <row r="290" spans="1:51" ht="12.95" customHeight="1">
      <c r="L290" s="19" t="s">
        <v>1127</v>
      </c>
      <c r="AU290" s="70"/>
      <c r="AV290" s="70"/>
      <c r="AW290" s="70"/>
      <c r="AX290" s="70"/>
      <c r="AY290" s="70"/>
    </row>
    <row r="291" spans="1:51" ht="12.95" customHeight="1">
      <c r="A291" s="1419" t="s">
        <v>1128</v>
      </c>
      <c r="B291" s="1419"/>
      <c r="C291" s="1419"/>
      <c r="D291" s="1419"/>
      <c r="E291" s="1419"/>
      <c r="F291" s="1419"/>
      <c r="G291" s="1419"/>
      <c r="H291" s="1419"/>
      <c r="I291" s="1419"/>
      <c r="J291" s="1419"/>
      <c r="K291" s="1419"/>
      <c r="L291" s="1419"/>
      <c r="M291" s="1419"/>
      <c r="N291" s="1419"/>
      <c r="O291" s="1419"/>
      <c r="P291" s="1419"/>
      <c r="Q291" s="1419"/>
      <c r="R291" s="1419"/>
      <c r="S291" s="1419"/>
      <c r="T291" s="1419"/>
      <c r="U291" s="1419"/>
      <c r="V291" s="1419"/>
      <c r="W291" s="1419"/>
      <c r="X291" s="1419"/>
      <c r="Y291" s="1419"/>
      <c r="Z291" s="1419"/>
      <c r="AA291" s="1419"/>
      <c r="AB291" s="1419"/>
      <c r="AC291" s="1419"/>
      <c r="AD291" s="1419"/>
      <c r="AE291" s="1419"/>
      <c r="AF291" s="1419"/>
      <c r="AG291" s="1419"/>
      <c r="AH291" s="1419"/>
      <c r="AI291" s="1419"/>
      <c r="AJ291" s="1419"/>
      <c r="AK291" s="1419"/>
      <c r="AL291" s="1419"/>
      <c r="AM291" s="1419"/>
      <c r="AN291" s="1419"/>
      <c r="AO291" s="1419"/>
      <c r="AP291" s="1419"/>
      <c r="AQ291" s="1419"/>
      <c r="AR291" s="1419"/>
      <c r="AS291" s="1419"/>
      <c r="AT291" s="1419"/>
      <c r="AU291" s="70"/>
      <c r="AV291" s="70"/>
      <c r="AW291" s="70"/>
      <c r="AX291" s="70"/>
      <c r="AY291" s="70"/>
    </row>
    <row r="292" spans="1:51" ht="12.95" customHeight="1">
      <c r="A292" s="1419"/>
      <c r="B292" s="1419"/>
      <c r="C292" s="1419"/>
      <c r="D292" s="1419"/>
      <c r="E292" s="1419"/>
      <c r="F292" s="1419"/>
      <c r="G292" s="1419"/>
      <c r="H292" s="1419"/>
      <c r="I292" s="1419"/>
      <c r="J292" s="1419"/>
      <c r="K292" s="1419"/>
      <c r="L292" s="1419"/>
      <c r="M292" s="1419"/>
      <c r="N292" s="1419"/>
      <c r="O292" s="1419"/>
      <c r="P292" s="1419"/>
      <c r="Q292" s="1419"/>
      <c r="R292" s="1419"/>
      <c r="S292" s="1419"/>
      <c r="T292" s="1419"/>
      <c r="U292" s="1419"/>
      <c r="V292" s="1419"/>
      <c r="W292" s="1419"/>
      <c r="X292" s="1419"/>
      <c r="Y292" s="1419"/>
      <c r="Z292" s="1419"/>
      <c r="AA292" s="1419"/>
      <c r="AB292" s="1419"/>
      <c r="AC292" s="1419"/>
      <c r="AD292" s="1419"/>
      <c r="AE292" s="1419"/>
      <c r="AF292" s="1419"/>
      <c r="AG292" s="1419"/>
      <c r="AH292" s="1419"/>
      <c r="AI292" s="1419"/>
      <c r="AJ292" s="1419"/>
      <c r="AK292" s="1419"/>
      <c r="AL292" s="1419"/>
      <c r="AM292" s="1419"/>
      <c r="AN292" s="1419"/>
      <c r="AO292" s="1419"/>
      <c r="AP292" s="1419"/>
      <c r="AQ292" s="1419"/>
      <c r="AR292" s="1419"/>
      <c r="AS292" s="1419"/>
      <c r="AT292" s="1419"/>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887</v>
      </c>
      <c r="C294" s="2" t="s">
        <v>1129</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1130</v>
      </c>
      <c r="C296" s="3"/>
      <c r="D296" s="3"/>
      <c r="E296" s="3"/>
      <c r="F296" s="3"/>
      <c r="H296" s="1335" t="s">
        <v>1095</v>
      </c>
      <c r="I296" s="1335"/>
      <c r="J296" s="1335"/>
      <c r="K296" s="1335"/>
      <c r="L296" s="1335"/>
      <c r="M296" s="1335"/>
      <c r="N296" s="1335"/>
      <c r="O296" s="1335"/>
      <c r="P296" s="1335"/>
      <c r="Q296" s="1335"/>
      <c r="R296" s="1335"/>
      <c r="T296" s="3" t="s">
        <v>1131</v>
      </c>
      <c r="V296" s="3"/>
      <c r="W296" s="3"/>
      <c r="X296" s="3"/>
      <c r="Y296" s="3"/>
      <c r="AA296" s="1335" t="s">
        <v>1132</v>
      </c>
      <c r="AB296" s="1335"/>
      <c r="AC296" s="1335"/>
      <c r="AD296" s="1335"/>
      <c r="AE296" s="1335"/>
      <c r="AF296" s="1335"/>
      <c r="AG296" s="1335"/>
      <c r="AH296" s="1335"/>
      <c r="AI296" s="1335"/>
      <c r="AJ296" s="1335"/>
      <c r="AK296" s="1335"/>
    </row>
    <row r="297" spans="1:51" ht="12.95" customHeight="1">
      <c r="B297" s="3" t="s">
        <v>1133</v>
      </c>
      <c r="C297" s="3"/>
      <c r="D297" s="3"/>
      <c r="E297" s="3"/>
      <c r="F297" s="3"/>
      <c r="H297" s="1350" t="s">
        <v>1134</v>
      </c>
      <c r="I297" s="1350"/>
      <c r="J297" s="1350"/>
      <c r="K297" s="1350"/>
      <c r="L297" s="1350"/>
      <c r="M297" s="1350"/>
      <c r="N297" s="1350"/>
      <c r="O297" s="1350"/>
      <c r="P297" s="1350"/>
      <c r="Q297" s="1350"/>
      <c r="R297" s="1350"/>
      <c r="T297" s="3" t="s">
        <v>1133</v>
      </c>
      <c r="V297" s="3"/>
      <c r="W297" s="3"/>
      <c r="X297" s="3"/>
      <c r="Y297" s="3"/>
      <c r="AA297" s="1350" t="s">
        <v>1135</v>
      </c>
      <c r="AB297" s="1350"/>
      <c r="AC297" s="1350"/>
      <c r="AD297" s="1350"/>
      <c r="AE297" s="1350"/>
      <c r="AF297" s="1350"/>
      <c r="AG297" s="1350"/>
      <c r="AH297" s="1350"/>
      <c r="AI297" s="1350"/>
      <c r="AJ297" s="1350"/>
      <c r="AK297" s="1350"/>
    </row>
    <row r="298" spans="1:51" ht="12.95" customHeight="1">
      <c r="B298" s="3" t="s">
        <v>1136</v>
      </c>
      <c r="C298" s="3"/>
      <c r="D298" s="3"/>
      <c r="E298" s="3"/>
      <c r="F298" s="3"/>
      <c r="H298" s="1350" t="s">
        <v>1137</v>
      </c>
      <c r="I298" s="1350"/>
      <c r="J298" s="1350"/>
      <c r="K298" s="1350"/>
      <c r="L298" s="1350"/>
      <c r="M298" s="1350"/>
      <c r="N298" s="1350"/>
      <c r="O298" s="1350"/>
      <c r="P298" s="1350"/>
      <c r="Q298" s="1350"/>
      <c r="R298" s="1350"/>
      <c r="T298" s="3" t="s">
        <v>1138</v>
      </c>
      <c r="V298" s="3"/>
      <c r="W298" s="3"/>
      <c r="X298" s="3"/>
      <c r="Y298" s="3"/>
      <c r="AA298" s="1350" t="s">
        <v>1139</v>
      </c>
      <c r="AB298" s="1350"/>
      <c r="AC298" s="1350"/>
      <c r="AD298" s="1350"/>
      <c r="AE298" s="1350"/>
      <c r="AF298" s="1350"/>
      <c r="AG298" s="1350"/>
      <c r="AH298" s="1350"/>
      <c r="AI298" s="1350"/>
      <c r="AJ298" s="1350"/>
      <c r="AK298" s="1350"/>
    </row>
    <row r="299" spans="1:51" ht="12.95" customHeight="1">
      <c r="B299" s="3" t="s">
        <v>1086</v>
      </c>
      <c r="C299" s="3"/>
      <c r="D299" s="3"/>
      <c r="E299" s="3"/>
      <c r="F299" s="3"/>
      <c r="H299" s="1350" t="s">
        <v>1140</v>
      </c>
      <c r="I299" s="1350"/>
      <c r="J299" s="1350"/>
      <c r="K299" s="1350"/>
      <c r="L299" s="1350"/>
      <c r="M299" s="1350"/>
      <c r="N299" s="1350"/>
      <c r="O299" s="1350"/>
      <c r="P299" s="1350"/>
      <c r="Q299" s="1350"/>
      <c r="R299" s="1350"/>
      <c r="T299" s="3" t="s">
        <v>1086</v>
      </c>
      <c r="V299" s="3"/>
      <c r="W299" s="3"/>
      <c r="X299" s="3"/>
      <c r="Y299" s="3"/>
      <c r="AA299" s="1350" t="s">
        <v>1141</v>
      </c>
      <c r="AB299" s="1350"/>
      <c r="AC299" s="1350"/>
      <c r="AD299" s="1350"/>
      <c r="AE299" s="1350"/>
      <c r="AF299" s="1350"/>
      <c r="AG299" s="1350"/>
      <c r="AH299" s="1350"/>
      <c r="AI299" s="1350"/>
      <c r="AJ299" s="1350"/>
      <c r="AK299" s="1350"/>
    </row>
    <row r="300" spans="1:51" ht="12.95" customHeight="1">
      <c r="B300" s="3" t="s">
        <v>1087</v>
      </c>
      <c r="C300" s="3"/>
      <c r="D300" s="3"/>
      <c r="E300" s="3"/>
      <c r="F300" s="3"/>
      <c r="G300" s="3"/>
      <c r="H300" s="1420" t="s">
        <v>1142</v>
      </c>
      <c r="I300" s="1420"/>
      <c r="J300" s="1420"/>
      <c r="K300" s="1420"/>
      <c r="L300" s="1420"/>
      <c r="M300" s="1420"/>
      <c r="N300" s="3" t="s">
        <v>1088</v>
      </c>
      <c r="O300" s="3"/>
      <c r="P300" s="1405"/>
      <c r="Q300" s="1405"/>
      <c r="R300" s="1405"/>
      <c r="S300" s="3"/>
      <c r="T300" s="3" t="s">
        <v>1087</v>
      </c>
      <c r="V300" s="3"/>
      <c r="W300" s="3"/>
      <c r="X300" s="3"/>
      <c r="Y300" s="3"/>
      <c r="AA300" s="1420" t="s">
        <v>1143</v>
      </c>
      <c r="AB300" s="1420"/>
      <c r="AC300" s="1420"/>
      <c r="AD300" s="1420"/>
      <c r="AE300" s="1420"/>
      <c r="AF300" s="1420"/>
      <c r="AG300" s="3" t="s">
        <v>1088</v>
      </c>
      <c r="AH300" s="3"/>
      <c r="AI300" s="1405"/>
      <c r="AJ300" s="1405"/>
      <c r="AK300" s="1405"/>
    </row>
    <row r="301" spans="1:51" ht="12.95" customHeight="1">
      <c r="B301" s="3" t="s">
        <v>1089</v>
      </c>
      <c r="C301" s="3"/>
      <c r="D301" s="3"/>
      <c r="E301" s="3"/>
      <c r="F301" s="3"/>
      <c r="G301" s="3"/>
      <c r="H301" s="1334" t="s">
        <v>1142</v>
      </c>
      <c r="I301" s="1334"/>
      <c r="J301" s="1334"/>
      <c r="K301" s="1334"/>
      <c r="L301" s="1334"/>
      <c r="M301" s="1334"/>
      <c r="N301" s="3"/>
      <c r="O301" s="3"/>
      <c r="P301" s="84"/>
      <c r="Q301" s="84"/>
      <c r="R301" s="84"/>
      <c r="S301" s="3"/>
      <c r="T301" s="3" t="s">
        <v>1089</v>
      </c>
      <c r="V301" s="3"/>
      <c r="W301" s="3"/>
      <c r="X301" s="3"/>
      <c r="Y301" s="3"/>
      <c r="AA301" s="1334">
        <v>0</v>
      </c>
      <c r="AB301" s="1334"/>
      <c r="AC301" s="1334"/>
      <c r="AD301" s="1334"/>
      <c r="AE301" s="1334"/>
      <c r="AF301" s="1334"/>
      <c r="AG301" s="3"/>
      <c r="AH301" s="3"/>
      <c r="AI301" s="84"/>
      <c r="AJ301" s="84"/>
      <c r="AK301" s="84"/>
    </row>
    <row r="302" spans="1:51" ht="12.95" customHeight="1">
      <c r="B302" s="3" t="s">
        <v>1144</v>
      </c>
      <c r="C302" s="3"/>
      <c r="D302" s="3"/>
      <c r="E302" s="3"/>
      <c r="F302" s="3"/>
      <c r="G302" s="3"/>
      <c r="H302" s="1350" t="s">
        <v>1092</v>
      </c>
      <c r="I302" s="1350"/>
      <c r="J302" s="1350"/>
      <c r="K302" s="1350"/>
      <c r="L302" s="1350"/>
      <c r="M302" s="1350"/>
      <c r="N302" s="1335"/>
      <c r="O302" s="1335"/>
      <c r="P302" s="1335"/>
      <c r="Q302" s="1335"/>
      <c r="R302" s="1335"/>
      <c r="S302" s="3"/>
      <c r="T302" s="3" t="s">
        <v>1144</v>
      </c>
      <c r="V302" s="3"/>
      <c r="W302" s="3"/>
      <c r="X302" s="3"/>
      <c r="Y302" s="3"/>
      <c r="AA302" s="1350" t="s">
        <v>1145</v>
      </c>
      <c r="AB302" s="1350"/>
      <c r="AC302" s="1350"/>
      <c r="AD302" s="1350"/>
      <c r="AE302" s="1350"/>
      <c r="AF302" s="1350"/>
      <c r="AG302" s="1335"/>
      <c r="AH302" s="1335"/>
      <c r="AI302" s="1335"/>
      <c r="AJ302" s="1335"/>
      <c r="AK302" s="133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1146</v>
      </c>
      <c r="C304" s="3"/>
      <c r="D304" s="3"/>
      <c r="E304" s="3"/>
      <c r="F304" s="3"/>
      <c r="H304" s="1335" t="s">
        <v>1147</v>
      </c>
      <c r="I304" s="1335"/>
      <c r="J304" s="1335"/>
      <c r="K304" s="1335"/>
      <c r="L304" s="1335"/>
      <c r="M304" s="1335"/>
      <c r="N304" s="1335"/>
      <c r="O304" s="1335"/>
      <c r="P304" s="1335"/>
      <c r="Q304" s="1335"/>
      <c r="R304" s="1335"/>
      <c r="T304" s="3" t="s">
        <v>1148</v>
      </c>
      <c r="V304" s="3"/>
      <c r="W304" s="3"/>
      <c r="X304" s="3"/>
      <c r="Y304" s="3"/>
      <c r="AA304" s="1405" t="s">
        <v>1149</v>
      </c>
      <c r="AB304" s="1335"/>
      <c r="AC304" s="1335"/>
      <c r="AD304" s="1335"/>
      <c r="AE304" s="1335"/>
      <c r="AF304" s="1335"/>
      <c r="AG304" s="1335"/>
      <c r="AH304" s="1335"/>
      <c r="AI304" s="1335"/>
      <c r="AJ304" s="1335"/>
      <c r="AK304" s="1335"/>
    </row>
    <row r="305" spans="2:72" ht="12.95" customHeight="1">
      <c r="B305" s="3" t="s">
        <v>1133</v>
      </c>
      <c r="C305" s="3"/>
      <c r="D305" s="3"/>
      <c r="E305" s="3"/>
      <c r="F305" s="3"/>
      <c r="H305" s="1350" t="s">
        <v>1150</v>
      </c>
      <c r="I305" s="1350"/>
      <c r="J305" s="1350"/>
      <c r="K305" s="1350"/>
      <c r="L305" s="1350"/>
      <c r="M305" s="1350"/>
      <c r="N305" s="1350"/>
      <c r="O305" s="1350"/>
      <c r="P305" s="1350"/>
      <c r="Q305" s="1350"/>
      <c r="R305" s="1350"/>
      <c r="T305" s="3" t="s">
        <v>1133</v>
      </c>
      <c r="V305" s="3"/>
      <c r="W305" s="3"/>
      <c r="X305" s="3"/>
      <c r="Y305" s="3"/>
      <c r="AA305" s="1274" t="s">
        <v>1151</v>
      </c>
      <c r="AB305" s="1350"/>
      <c r="AC305" s="1350"/>
      <c r="AD305" s="1350"/>
      <c r="AE305" s="1350"/>
      <c r="AF305" s="1350"/>
      <c r="AG305" s="1350"/>
      <c r="AH305" s="1350"/>
      <c r="AI305" s="1350"/>
      <c r="AJ305" s="1350"/>
      <c r="AK305" s="1350"/>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1136</v>
      </c>
      <c r="C306" s="3"/>
      <c r="D306" s="3"/>
      <c r="E306" s="3"/>
      <c r="F306" s="3"/>
      <c r="H306" s="1350" t="s">
        <v>1152</v>
      </c>
      <c r="I306" s="1350"/>
      <c r="J306" s="1350"/>
      <c r="K306" s="1350"/>
      <c r="L306" s="1350"/>
      <c r="M306" s="1350"/>
      <c r="N306" s="1350"/>
      <c r="O306" s="1350"/>
      <c r="P306" s="1350"/>
      <c r="Q306" s="1350"/>
      <c r="R306" s="1350"/>
      <c r="T306" s="3" t="s">
        <v>1138</v>
      </c>
      <c r="V306" s="3"/>
      <c r="W306" s="3"/>
      <c r="X306" s="3"/>
      <c r="Y306" s="3"/>
      <c r="AA306" s="1274" t="s">
        <v>1153</v>
      </c>
      <c r="AB306" s="1350"/>
      <c r="AC306" s="1350"/>
      <c r="AD306" s="1350"/>
      <c r="AE306" s="1350"/>
      <c r="AF306" s="1350"/>
      <c r="AG306" s="1350"/>
      <c r="AH306" s="1350"/>
      <c r="AI306" s="1350"/>
      <c r="AJ306" s="1350"/>
      <c r="AK306" s="1350"/>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1086</v>
      </c>
      <c r="C307" s="3"/>
      <c r="D307" s="3"/>
      <c r="E307" s="3"/>
      <c r="F307" s="3"/>
      <c r="H307" s="1350" t="s">
        <v>1154</v>
      </c>
      <c r="I307" s="1350"/>
      <c r="J307" s="1350"/>
      <c r="K307" s="1350"/>
      <c r="L307" s="1350"/>
      <c r="M307" s="1350"/>
      <c r="N307" s="1350"/>
      <c r="O307" s="1350"/>
      <c r="P307" s="1350"/>
      <c r="Q307" s="1350"/>
      <c r="R307" s="1350"/>
      <c r="T307" s="3" t="s">
        <v>1086</v>
      </c>
      <c r="V307" s="3"/>
      <c r="W307" s="3"/>
      <c r="X307" s="3"/>
      <c r="Y307" s="3"/>
      <c r="AA307" s="1274" t="s">
        <v>1155</v>
      </c>
      <c r="AB307" s="1350"/>
      <c r="AC307" s="1350"/>
      <c r="AD307" s="1350"/>
      <c r="AE307" s="1350"/>
      <c r="AF307" s="1350"/>
      <c r="AG307" s="1350"/>
      <c r="AH307" s="1350"/>
      <c r="AI307" s="1350"/>
      <c r="AJ307" s="1350"/>
      <c r="AK307" s="1350"/>
    </row>
    <row r="308" spans="2:72" ht="12.95" customHeight="1">
      <c r="B308" s="3" t="s">
        <v>1087</v>
      </c>
      <c r="C308" s="3"/>
      <c r="D308" s="3"/>
      <c r="E308" s="3"/>
      <c r="F308" s="3"/>
      <c r="G308" s="3"/>
      <c r="H308" s="1420" t="s">
        <v>1156</v>
      </c>
      <c r="I308" s="1420"/>
      <c r="J308" s="1420"/>
      <c r="K308" s="1420"/>
      <c r="L308" s="1420"/>
      <c r="M308" s="1420"/>
      <c r="N308" s="3" t="s">
        <v>1088</v>
      </c>
      <c r="O308" s="3"/>
      <c r="P308" s="1405"/>
      <c r="Q308" s="1405"/>
      <c r="R308" s="1405"/>
      <c r="S308" s="3"/>
      <c r="T308" s="3" t="s">
        <v>1087</v>
      </c>
      <c r="V308" s="3"/>
      <c r="W308" s="3"/>
      <c r="X308" s="3"/>
      <c r="Y308" s="3"/>
      <c r="AA308" s="1420" t="s">
        <v>1157</v>
      </c>
      <c r="AB308" s="1420"/>
      <c r="AC308" s="1420"/>
      <c r="AD308" s="1420"/>
      <c r="AE308" s="1420"/>
      <c r="AF308" s="1420"/>
      <c r="AG308" s="3" t="s">
        <v>1088</v>
      </c>
      <c r="AH308" s="3"/>
      <c r="AI308" s="1405"/>
      <c r="AJ308" s="1405"/>
      <c r="AK308" s="1405"/>
    </row>
    <row r="309" spans="2:72" ht="12.95" customHeight="1">
      <c r="B309" s="3" t="s">
        <v>1089</v>
      </c>
      <c r="C309" s="3"/>
      <c r="D309" s="3"/>
      <c r="E309" s="3"/>
      <c r="F309" s="3"/>
      <c r="G309" s="3"/>
      <c r="H309" s="1334" t="s">
        <v>1158</v>
      </c>
      <c r="I309" s="1334"/>
      <c r="J309" s="1334"/>
      <c r="K309" s="1334"/>
      <c r="L309" s="1334"/>
      <c r="M309" s="1334"/>
      <c r="N309" s="3"/>
      <c r="O309" s="3"/>
      <c r="P309" s="84"/>
      <c r="Q309" s="84"/>
      <c r="R309" s="84"/>
      <c r="S309" s="3"/>
      <c r="T309" s="3" t="s">
        <v>1089</v>
      </c>
      <c r="V309" s="3"/>
      <c r="W309" s="3"/>
      <c r="X309" s="3"/>
      <c r="Y309" s="3"/>
      <c r="AA309" s="1334"/>
      <c r="AB309" s="1334"/>
      <c r="AC309" s="1334"/>
      <c r="AD309" s="1334"/>
      <c r="AE309" s="1334"/>
      <c r="AF309" s="1334"/>
      <c r="AG309" s="3"/>
      <c r="AH309" s="3"/>
      <c r="AI309" s="84"/>
      <c r="AJ309" s="84"/>
      <c r="AK309" s="84"/>
    </row>
    <row r="310" spans="2:72" ht="12.95" customHeight="1">
      <c r="B310" s="3" t="s">
        <v>1144</v>
      </c>
      <c r="C310" s="3"/>
      <c r="D310" s="3"/>
      <c r="E310" s="3"/>
      <c r="F310" s="3"/>
      <c r="G310" s="3"/>
      <c r="H310" s="1350" t="s">
        <v>1159</v>
      </c>
      <c r="I310" s="1350"/>
      <c r="J310" s="1350"/>
      <c r="K310" s="1350"/>
      <c r="L310" s="1350"/>
      <c r="M310" s="1350"/>
      <c r="N310" s="1335"/>
      <c r="O310" s="1335"/>
      <c r="P310" s="1335"/>
      <c r="Q310" s="1335"/>
      <c r="R310" s="1335"/>
      <c r="S310" s="3"/>
      <c r="T310" s="3" t="s">
        <v>1144</v>
      </c>
      <c r="V310" s="3"/>
      <c r="W310" s="3"/>
      <c r="X310" s="3"/>
      <c r="Y310" s="3"/>
      <c r="AA310" s="1274" t="s">
        <v>1160</v>
      </c>
      <c r="AB310" s="1350"/>
      <c r="AC310" s="1350"/>
      <c r="AD310" s="1350"/>
      <c r="AE310" s="1350"/>
      <c r="AF310" s="1350"/>
      <c r="AG310" s="1335"/>
      <c r="AH310" s="1335"/>
      <c r="AI310" s="1335"/>
      <c r="AJ310" s="1335"/>
      <c r="AK310" s="1335"/>
    </row>
    <row r="311" spans="2:72" ht="12.95" customHeight="1"/>
    <row r="312" spans="2:72" ht="12.95" customHeight="1">
      <c r="B312" s="3" t="s">
        <v>1161</v>
      </c>
      <c r="C312" s="3"/>
      <c r="D312" s="3"/>
      <c r="E312" s="3"/>
      <c r="F312" s="3"/>
      <c r="H312" s="1335" t="s">
        <v>1147</v>
      </c>
      <c r="I312" s="1335"/>
      <c r="J312" s="1335"/>
      <c r="K312" s="1335"/>
      <c r="L312" s="1335"/>
      <c r="M312" s="1335"/>
      <c r="N312" s="1335"/>
      <c r="O312" s="1335"/>
      <c r="P312" s="1335"/>
      <c r="Q312" s="1335"/>
      <c r="R312" s="1335"/>
      <c r="T312" s="3" t="s">
        <v>1162</v>
      </c>
      <c r="V312" s="3"/>
      <c r="W312" s="3"/>
      <c r="X312" s="3"/>
      <c r="Y312" s="3"/>
      <c r="AA312" s="1335" t="s">
        <v>1163</v>
      </c>
      <c r="AB312" s="1335"/>
      <c r="AC312" s="1335"/>
      <c r="AD312" s="1335"/>
      <c r="AE312" s="1335"/>
      <c r="AF312" s="1335"/>
      <c r="AG312" s="1335"/>
      <c r="AH312" s="1335"/>
      <c r="AI312" s="1335"/>
      <c r="AJ312" s="1335"/>
      <c r="AK312" s="1335"/>
    </row>
    <row r="313" spans="2:72" ht="12.95" customHeight="1">
      <c r="B313" s="3" t="s">
        <v>1133</v>
      </c>
      <c r="C313" s="3"/>
      <c r="D313" s="3"/>
      <c r="E313" s="3"/>
      <c r="F313" s="3"/>
      <c r="H313" s="1350" t="s">
        <v>1150</v>
      </c>
      <c r="I313" s="1350"/>
      <c r="J313" s="1350"/>
      <c r="K313" s="1350"/>
      <c r="L313" s="1350"/>
      <c r="M313" s="1350"/>
      <c r="N313" s="1350"/>
      <c r="O313" s="1350"/>
      <c r="P313" s="1350"/>
      <c r="Q313" s="1350"/>
      <c r="R313" s="1350"/>
      <c r="T313" s="3" t="s">
        <v>1133</v>
      </c>
      <c r="V313" s="3"/>
      <c r="W313" s="3"/>
      <c r="X313" s="3"/>
      <c r="Y313" s="3"/>
      <c r="AA313" s="1350" t="s">
        <v>1164</v>
      </c>
      <c r="AB313" s="1350"/>
      <c r="AC313" s="1350"/>
      <c r="AD313" s="1350"/>
      <c r="AE313" s="1350"/>
      <c r="AF313" s="1350"/>
      <c r="AG313" s="1350"/>
      <c r="AH313" s="1350"/>
      <c r="AI313" s="1350"/>
      <c r="AJ313" s="1350"/>
      <c r="AK313" s="1350"/>
    </row>
    <row r="314" spans="2:72" ht="12.95" customHeight="1">
      <c r="B314" s="3" t="s">
        <v>1136</v>
      </c>
      <c r="C314" s="3"/>
      <c r="D314" s="3"/>
      <c r="E314" s="3"/>
      <c r="F314" s="3"/>
      <c r="H314" s="1350" t="s">
        <v>1152</v>
      </c>
      <c r="I314" s="1350"/>
      <c r="J314" s="1350"/>
      <c r="K314" s="1350"/>
      <c r="L314" s="1350"/>
      <c r="M314" s="1350"/>
      <c r="N314" s="1350"/>
      <c r="O314" s="1350"/>
      <c r="P314" s="1350"/>
      <c r="Q314" s="1350"/>
      <c r="R314" s="1350"/>
      <c r="T314" s="3" t="s">
        <v>1138</v>
      </c>
      <c r="V314" s="3"/>
      <c r="W314" s="3"/>
      <c r="X314" s="3"/>
      <c r="Y314" s="3"/>
      <c r="AA314" s="1350" t="s">
        <v>1165</v>
      </c>
      <c r="AB314" s="1350"/>
      <c r="AC314" s="1350"/>
      <c r="AD314" s="1350"/>
      <c r="AE314" s="1350"/>
      <c r="AF314" s="1350"/>
      <c r="AG314" s="1350"/>
      <c r="AH314" s="1350"/>
      <c r="AI314" s="1350"/>
      <c r="AJ314" s="1350"/>
      <c r="AK314" s="1350"/>
    </row>
    <row r="315" spans="2:72" ht="12.95" customHeight="1">
      <c r="B315" s="3" t="s">
        <v>1086</v>
      </c>
      <c r="C315" s="3"/>
      <c r="D315" s="3"/>
      <c r="E315" s="3"/>
      <c r="F315" s="3"/>
      <c r="H315" s="1350" t="s">
        <v>1154</v>
      </c>
      <c r="I315" s="1350"/>
      <c r="J315" s="1350"/>
      <c r="K315" s="1350"/>
      <c r="L315" s="1350"/>
      <c r="M315" s="1350"/>
      <c r="N315" s="1350"/>
      <c r="O315" s="1350"/>
      <c r="P315" s="1350"/>
      <c r="Q315" s="1350"/>
      <c r="R315" s="1350"/>
      <c r="T315" s="3" t="s">
        <v>1086</v>
      </c>
      <c r="V315" s="3"/>
      <c r="W315" s="3"/>
      <c r="X315" s="3"/>
      <c r="Y315" s="3"/>
      <c r="AA315" s="1350" t="s">
        <v>1166</v>
      </c>
      <c r="AB315" s="1350"/>
      <c r="AC315" s="1350"/>
      <c r="AD315" s="1350"/>
      <c r="AE315" s="1350"/>
      <c r="AF315" s="1350"/>
      <c r="AG315" s="1350"/>
      <c r="AH315" s="1350"/>
      <c r="AI315" s="1350"/>
      <c r="AJ315" s="1350"/>
      <c r="AK315" s="1350"/>
    </row>
    <row r="316" spans="2:72" ht="12.95" customHeight="1">
      <c r="B316" s="3" t="s">
        <v>1087</v>
      </c>
      <c r="C316" s="3"/>
      <c r="D316" s="3"/>
      <c r="E316" s="3"/>
      <c r="F316" s="3"/>
      <c r="G316" s="3"/>
      <c r="H316" s="1420" t="s">
        <v>1156</v>
      </c>
      <c r="I316" s="1420"/>
      <c r="J316" s="1420"/>
      <c r="K316" s="1420"/>
      <c r="L316" s="1420"/>
      <c r="M316" s="1420"/>
      <c r="N316" s="3" t="s">
        <v>1088</v>
      </c>
      <c r="O316" s="3"/>
      <c r="P316" s="1405"/>
      <c r="Q316" s="1405"/>
      <c r="R316" s="1405"/>
      <c r="S316" s="3"/>
      <c r="T316" s="3" t="s">
        <v>1087</v>
      </c>
      <c r="V316" s="3"/>
      <c r="W316" s="3"/>
      <c r="X316" s="3"/>
      <c r="Y316" s="3"/>
      <c r="AA316" s="1420" t="s">
        <v>1167</v>
      </c>
      <c r="AB316" s="1420"/>
      <c r="AC316" s="1420"/>
      <c r="AD316" s="1420"/>
      <c r="AE316" s="1420"/>
      <c r="AF316" s="1420"/>
      <c r="AG316" s="3" t="s">
        <v>1088</v>
      </c>
      <c r="AH316" s="3"/>
      <c r="AI316" s="1405"/>
      <c r="AJ316" s="1405"/>
      <c r="AK316" s="1405"/>
    </row>
    <row r="317" spans="2:72" ht="12.95" customHeight="1">
      <c r="B317" s="3" t="s">
        <v>1089</v>
      </c>
      <c r="C317" s="3"/>
      <c r="D317" s="3"/>
      <c r="E317" s="3"/>
      <c r="F317" s="3"/>
      <c r="G317" s="3"/>
      <c r="H317" s="1334" t="s">
        <v>1156</v>
      </c>
      <c r="I317" s="1334"/>
      <c r="J317" s="1334"/>
      <c r="K317" s="1334"/>
      <c r="L317" s="1334"/>
      <c r="M317" s="1334"/>
      <c r="N317" s="3"/>
      <c r="O317" s="3"/>
      <c r="P317" s="84"/>
      <c r="Q317" s="84"/>
      <c r="R317" s="84"/>
      <c r="S317" s="3"/>
      <c r="T317" s="3" t="s">
        <v>1089</v>
      </c>
      <c r="V317" s="3"/>
      <c r="W317" s="3"/>
      <c r="X317" s="3"/>
      <c r="Y317" s="3"/>
      <c r="AA317" s="1334" t="s">
        <v>1168</v>
      </c>
      <c r="AB317" s="1334"/>
      <c r="AC317" s="1334"/>
      <c r="AD317" s="1334"/>
      <c r="AE317" s="1334"/>
      <c r="AF317" s="1334"/>
      <c r="AG317" s="3"/>
      <c r="AH317" s="3"/>
      <c r="AI317" s="84"/>
      <c r="AJ317" s="84"/>
      <c r="AK317" s="84"/>
    </row>
    <row r="318" spans="2:72" ht="12.95" customHeight="1">
      <c r="B318" s="3" t="s">
        <v>1144</v>
      </c>
      <c r="C318" s="3"/>
      <c r="D318" s="3"/>
      <c r="E318" s="3"/>
      <c r="F318" s="3"/>
      <c r="G318" s="3"/>
      <c r="H318" s="1350" t="s">
        <v>1159</v>
      </c>
      <c r="I318" s="1350"/>
      <c r="J318" s="1350"/>
      <c r="K318" s="1350"/>
      <c r="L318" s="1350"/>
      <c r="M318" s="1350"/>
      <c r="N318" s="1335"/>
      <c r="O318" s="1335"/>
      <c r="P318" s="1335"/>
      <c r="Q318" s="1335"/>
      <c r="R318" s="1335"/>
      <c r="S318" s="3"/>
      <c r="T318" s="3" t="s">
        <v>1144</v>
      </c>
      <c r="V318" s="3"/>
      <c r="W318" s="3"/>
      <c r="X318" s="3"/>
      <c r="Y318" s="3"/>
      <c r="AA318" s="1350" t="s">
        <v>1169</v>
      </c>
      <c r="AB318" s="1350"/>
      <c r="AC318" s="1350"/>
      <c r="AD318" s="1350"/>
      <c r="AE318" s="1350"/>
      <c r="AF318" s="1350"/>
      <c r="AG318" s="1335"/>
      <c r="AH318" s="1335"/>
      <c r="AI318" s="1335"/>
      <c r="AJ318" s="1335"/>
      <c r="AK318" s="1335"/>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1170</v>
      </c>
      <c r="C320" s="3"/>
      <c r="D320" s="3"/>
      <c r="E320" s="3"/>
      <c r="F320" s="3"/>
      <c r="H320" s="1335" t="s">
        <v>1171</v>
      </c>
      <c r="I320" s="1335"/>
      <c r="J320" s="1335"/>
      <c r="K320" s="1335"/>
      <c r="L320" s="1335"/>
      <c r="M320" s="1335"/>
      <c r="N320" s="1335"/>
      <c r="O320" s="1335"/>
      <c r="P320" s="1335"/>
      <c r="Q320" s="1335"/>
      <c r="R320" s="1335"/>
      <c r="S320" s="3"/>
      <c r="T320" s="3" t="s">
        <v>1172</v>
      </c>
      <c r="V320" s="3"/>
      <c r="W320" s="3"/>
      <c r="X320" s="3"/>
      <c r="Y320" s="3"/>
      <c r="AA320" s="1335" t="s">
        <v>1173</v>
      </c>
      <c r="AB320" s="1335"/>
      <c r="AC320" s="1335"/>
      <c r="AD320" s="1335"/>
      <c r="AE320" s="1335"/>
      <c r="AF320" s="1335"/>
      <c r="AG320" s="1335"/>
      <c r="AH320" s="1335"/>
      <c r="AI320" s="1335"/>
      <c r="AJ320" s="1335"/>
      <c r="AK320" s="1335"/>
    </row>
    <row r="321" spans="2:37" ht="12.95" customHeight="1">
      <c r="B321" s="3" t="s">
        <v>1133</v>
      </c>
      <c r="C321" s="3"/>
      <c r="D321" s="3"/>
      <c r="E321" s="3"/>
      <c r="F321" s="3"/>
      <c r="H321" s="1350" t="s">
        <v>1174</v>
      </c>
      <c r="I321" s="1350"/>
      <c r="J321" s="1350"/>
      <c r="K321" s="1350"/>
      <c r="L321" s="1350"/>
      <c r="M321" s="1350"/>
      <c r="N321" s="1350"/>
      <c r="O321" s="1350"/>
      <c r="P321" s="1350"/>
      <c r="Q321" s="1350"/>
      <c r="R321" s="1350"/>
      <c r="S321" s="3"/>
      <c r="T321" s="3" t="s">
        <v>1133</v>
      </c>
      <c r="V321" s="3"/>
      <c r="W321" s="3"/>
      <c r="X321" s="3"/>
      <c r="Y321" s="3"/>
      <c r="AA321" s="1350"/>
      <c r="AB321" s="1350"/>
      <c r="AC321" s="1350"/>
      <c r="AD321" s="1350"/>
      <c r="AE321" s="1350"/>
      <c r="AF321" s="1350"/>
      <c r="AG321" s="1350"/>
      <c r="AH321" s="1350"/>
      <c r="AI321" s="1350"/>
      <c r="AJ321" s="1350"/>
      <c r="AK321" s="1350"/>
    </row>
    <row r="322" spans="2:37" ht="12.95" customHeight="1">
      <c r="B322" s="3" t="s">
        <v>1136</v>
      </c>
      <c r="C322" s="3"/>
      <c r="D322" s="3"/>
      <c r="E322" s="3"/>
      <c r="F322" s="3"/>
      <c r="H322" s="1350" t="s">
        <v>1175</v>
      </c>
      <c r="I322" s="1350"/>
      <c r="J322" s="1350"/>
      <c r="K322" s="1350"/>
      <c r="L322" s="1350"/>
      <c r="M322" s="1350"/>
      <c r="N322" s="1350"/>
      <c r="O322" s="1350"/>
      <c r="P322" s="1350"/>
      <c r="Q322" s="1350"/>
      <c r="R322" s="1350"/>
      <c r="S322" s="3"/>
      <c r="T322" s="3" t="s">
        <v>1138</v>
      </c>
      <c r="V322" s="3"/>
      <c r="W322" s="3"/>
      <c r="X322" s="3"/>
      <c r="Y322" s="3"/>
      <c r="AA322" s="1350"/>
      <c r="AB322" s="1350"/>
      <c r="AC322" s="1350"/>
      <c r="AD322" s="1350"/>
      <c r="AE322" s="1350"/>
      <c r="AF322" s="1350"/>
      <c r="AG322" s="1350"/>
      <c r="AH322" s="1350"/>
      <c r="AI322" s="1350"/>
      <c r="AJ322" s="1350"/>
      <c r="AK322" s="1350"/>
    </row>
    <row r="323" spans="2:37" ht="12.95" customHeight="1">
      <c r="B323" s="3" t="s">
        <v>1086</v>
      </c>
      <c r="C323" s="3"/>
      <c r="D323" s="3"/>
      <c r="E323" s="3"/>
      <c r="F323" s="3"/>
      <c r="H323" s="1350" t="s">
        <v>1176</v>
      </c>
      <c r="I323" s="1350"/>
      <c r="J323" s="1350"/>
      <c r="K323" s="1350"/>
      <c r="L323" s="1350"/>
      <c r="M323" s="1350"/>
      <c r="N323" s="1350"/>
      <c r="O323" s="1350"/>
      <c r="P323" s="1350"/>
      <c r="Q323" s="1350"/>
      <c r="R323" s="1350"/>
      <c r="S323" s="3"/>
      <c r="T323" s="3" t="s">
        <v>1086</v>
      </c>
      <c r="V323" s="3"/>
      <c r="W323" s="3"/>
      <c r="X323" s="3"/>
      <c r="Y323" s="3"/>
      <c r="AA323" s="1350"/>
      <c r="AB323" s="1350"/>
      <c r="AC323" s="1350"/>
      <c r="AD323" s="1350"/>
      <c r="AE323" s="1350"/>
      <c r="AF323" s="1350"/>
      <c r="AG323" s="1350"/>
      <c r="AH323" s="1350"/>
      <c r="AI323" s="1350"/>
      <c r="AJ323" s="1350"/>
      <c r="AK323" s="1350"/>
    </row>
    <row r="324" spans="2:37" ht="12.95" customHeight="1">
      <c r="B324" s="3" t="s">
        <v>1087</v>
      </c>
      <c r="C324" s="3"/>
      <c r="D324" s="3"/>
      <c r="E324" s="3"/>
      <c r="F324" s="3"/>
      <c r="G324" s="3"/>
      <c r="H324" s="1420" t="s">
        <v>1177</v>
      </c>
      <c r="I324" s="1420"/>
      <c r="J324" s="1420"/>
      <c r="K324" s="1420"/>
      <c r="L324" s="1420"/>
      <c r="M324" s="1420"/>
      <c r="N324" s="3" t="s">
        <v>1088</v>
      </c>
      <c r="O324" s="3"/>
      <c r="P324" s="1405"/>
      <c r="Q324" s="1405"/>
      <c r="R324" s="1405"/>
      <c r="S324" s="3"/>
      <c r="T324" s="3" t="s">
        <v>1087</v>
      </c>
      <c r="V324" s="3"/>
      <c r="W324" s="3"/>
      <c r="X324" s="3"/>
      <c r="Y324" s="3"/>
      <c r="AA324" s="1420"/>
      <c r="AB324" s="1420"/>
      <c r="AC324" s="1420"/>
      <c r="AD324" s="1420"/>
      <c r="AE324" s="1420"/>
      <c r="AF324" s="1420"/>
      <c r="AG324" s="3" t="s">
        <v>1088</v>
      </c>
      <c r="AH324" s="3"/>
      <c r="AI324" s="1405"/>
      <c r="AJ324" s="1405"/>
      <c r="AK324" s="1405"/>
    </row>
    <row r="325" spans="2:37" ht="12.95" customHeight="1">
      <c r="B325" s="3" t="s">
        <v>1089</v>
      </c>
      <c r="C325" s="3"/>
      <c r="D325" s="3"/>
      <c r="E325" s="3"/>
      <c r="F325" s="3"/>
      <c r="G325" s="3"/>
      <c r="H325" s="1334"/>
      <c r="I325" s="1334"/>
      <c r="J325" s="1334"/>
      <c r="K325" s="1334"/>
      <c r="L325" s="1334"/>
      <c r="M325" s="1334"/>
      <c r="N325" s="3"/>
      <c r="O325" s="3"/>
      <c r="P325" s="84"/>
      <c r="Q325" s="84"/>
      <c r="R325" s="84"/>
      <c r="S325" s="3"/>
      <c r="T325" s="3" t="s">
        <v>1089</v>
      </c>
      <c r="V325" s="3"/>
      <c r="W325" s="3"/>
      <c r="X325" s="3"/>
      <c r="Y325" s="3"/>
      <c r="AA325" s="1334"/>
      <c r="AB325" s="1334"/>
      <c r="AC325" s="1334"/>
      <c r="AD325" s="1334"/>
      <c r="AE325" s="1334"/>
      <c r="AF325" s="1334"/>
      <c r="AG325" s="3"/>
      <c r="AH325" s="3"/>
      <c r="AI325" s="84"/>
      <c r="AJ325" s="84"/>
      <c r="AK325" s="84"/>
    </row>
    <row r="326" spans="2:37" ht="12.95" customHeight="1">
      <c r="B326" s="3" t="s">
        <v>1144</v>
      </c>
      <c r="C326" s="3"/>
      <c r="D326" s="3"/>
      <c r="E326" s="3"/>
      <c r="F326" s="3"/>
      <c r="G326" s="3"/>
      <c r="H326" s="1350" t="s">
        <v>1178</v>
      </c>
      <c r="I326" s="1350"/>
      <c r="J326" s="1350"/>
      <c r="K326" s="1350"/>
      <c r="L326" s="1350"/>
      <c r="M326" s="1350"/>
      <c r="N326" s="1335"/>
      <c r="O326" s="1335"/>
      <c r="P326" s="1335"/>
      <c r="Q326" s="1335"/>
      <c r="R326" s="1335"/>
      <c r="S326" s="3"/>
      <c r="T326" s="3" t="s">
        <v>1144</v>
      </c>
      <c r="V326" s="3"/>
      <c r="W326" s="3"/>
      <c r="X326" s="3"/>
      <c r="Y326" s="3"/>
      <c r="AA326" s="1350"/>
      <c r="AB326" s="1350"/>
      <c r="AC326" s="1350"/>
      <c r="AD326" s="1350"/>
      <c r="AE326" s="1350"/>
      <c r="AF326" s="1350"/>
      <c r="AG326" s="1335"/>
      <c r="AH326" s="1335"/>
      <c r="AI326" s="1335"/>
      <c r="AJ326" s="1335"/>
      <c r="AK326" s="1335"/>
    </row>
    <row r="327" spans="2:37" ht="12.95" customHeight="1"/>
    <row r="328" spans="2:37" ht="12.95" customHeight="1">
      <c r="B328" s="3" t="s">
        <v>1179</v>
      </c>
      <c r="C328" s="3"/>
      <c r="D328" s="3"/>
      <c r="E328" s="3"/>
      <c r="F328" s="3"/>
      <c r="H328" s="1335" t="s">
        <v>1180</v>
      </c>
      <c r="I328" s="1335"/>
      <c r="J328" s="1335"/>
      <c r="K328" s="1335"/>
      <c r="L328" s="1335"/>
      <c r="M328" s="1335"/>
      <c r="N328" s="1335"/>
      <c r="O328" s="1335"/>
      <c r="P328" s="1335"/>
      <c r="Q328" s="1335"/>
      <c r="R328" s="1335"/>
      <c r="T328" s="3" t="s">
        <v>1181</v>
      </c>
      <c r="V328" s="3"/>
      <c r="W328" s="3"/>
      <c r="X328" s="3"/>
      <c r="Y328" s="3"/>
      <c r="AA328" s="1335" t="s">
        <v>1182</v>
      </c>
      <c r="AB328" s="1335"/>
      <c r="AC328" s="1335"/>
      <c r="AD328" s="1335"/>
      <c r="AE328" s="1335"/>
      <c r="AF328" s="1335"/>
      <c r="AG328" s="1335"/>
      <c r="AH328" s="1335"/>
      <c r="AI328" s="1335"/>
      <c r="AJ328" s="1335"/>
      <c r="AK328" s="1335"/>
    </row>
    <row r="329" spans="2:37" ht="12.95" customHeight="1">
      <c r="B329" s="3" t="s">
        <v>1133</v>
      </c>
      <c r="C329" s="3"/>
      <c r="D329" s="3"/>
      <c r="E329" s="3"/>
      <c r="F329" s="3"/>
      <c r="H329" s="1350" t="s">
        <v>1183</v>
      </c>
      <c r="I329" s="1350"/>
      <c r="J329" s="1350"/>
      <c r="K329" s="1350"/>
      <c r="L329" s="1350"/>
      <c r="M329" s="1350"/>
      <c r="N329" s="1350"/>
      <c r="O329" s="1350"/>
      <c r="P329" s="1350"/>
      <c r="Q329" s="1350"/>
      <c r="R329" s="1350"/>
      <c r="T329" s="3" t="s">
        <v>1133</v>
      </c>
      <c r="V329" s="3"/>
      <c r="W329" s="3"/>
      <c r="X329" s="3"/>
      <c r="Y329" s="3"/>
      <c r="AA329" s="1350" t="s">
        <v>1184</v>
      </c>
      <c r="AB329" s="1350"/>
      <c r="AC329" s="1350"/>
      <c r="AD329" s="1350"/>
      <c r="AE329" s="1350"/>
      <c r="AF329" s="1350"/>
      <c r="AG329" s="1350"/>
      <c r="AH329" s="1350"/>
      <c r="AI329" s="1350"/>
      <c r="AJ329" s="1350"/>
      <c r="AK329" s="1350"/>
    </row>
    <row r="330" spans="2:37" ht="12.95" customHeight="1">
      <c r="B330" s="3" t="s">
        <v>1136</v>
      </c>
      <c r="C330" s="3"/>
      <c r="D330" s="3"/>
      <c r="E330" s="3"/>
      <c r="F330" s="3"/>
      <c r="H330" s="1350" t="s">
        <v>1185</v>
      </c>
      <c r="I330" s="1350"/>
      <c r="J330" s="1350"/>
      <c r="K330" s="1350"/>
      <c r="L330" s="1350"/>
      <c r="M330" s="1350"/>
      <c r="N330" s="1350"/>
      <c r="O330" s="1350"/>
      <c r="P330" s="1350"/>
      <c r="Q330" s="1350"/>
      <c r="R330" s="1350"/>
      <c r="T330" s="3" t="s">
        <v>1138</v>
      </c>
      <c r="V330" s="3"/>
      <c r="W330" s="3"/>
      <c r="X330" s="3"/>
      <c r="Y330" s="3"/>
      <c r="AA330" s="1350" t="s">
        <v>1186</v>
      </c>
      <c r="AB330" s="1350"/>
      <c r="AC330" s="1350"/>
      <c r="AD330" s="1350"/>
      <c r="AE330" s="1350"/>
      <c r="AF330" s="1350"/>
      <c r="AG330" s="1350"/>
      <c r="AH330" s="1350"/>
      <c r="AI330" s="1350"/>
      <c r="AJ330" s="1350"/>
      <c r="AK330" s="1350"/>
    </row>
    <row r="331" spans="2:37" ht="12.95" customHeight="1">
      <c r="B331" s="3" t="s">
        <v>1086</v>
      </c>
      <c r="C331" s="3"/>
      <c r="D331" s="3"/>
      <c r="E331" s="3"/>
      <c r="F331" s="3"/>
      <c r="H331" s="1350" t="s">
        <v>1187</v>
      </c>
      <c r="I331" s="1350"/>
      <c r="J331" s="1350"/>
      <c r="K331" s="1350"/>
      <c r="L331" s="1350"/>
      <c r="M331" s="1350"/>
      <c r="N331" s="1350"/>
      <c r="O331" s="1350"/>
      <c r="P331" s="1350"/>
      <c r="Q331" s="1350"/>
      <c r="R331" s="1350"/>
      <c r="T331" s="3" t="s">
        <v>1086</v>
      </c>
      <c r="V331" s="3"/>
      <c r="W331" s="3"/>
      <c r="X331" s="3"/>
      <c r="Y331" s="3"/>
      <c r="AA331" s="1350" t="s">
        <v>1188</v>
      </c>
      <c r="AB331" s="1350"/>
      <c r="AC331" s="1350"/>
      <c r="AD331" s="1350"/>
      <c r="AE331" s="1350"/>
      <c r="AF331" s="1350"/>
      <c r="AG331" s="1350"/>
      <c r="AH331" s="1350"/>
      <c r="AI331" s="1350"/>
      <c r="AJ331" s="1350"/>
      <c r="AK331" s="1350"/>
    </row>
    <row r="332" spans="2:37" ht="12.95" customHeight="1">
      <c r="B332" s="3" t="s">
        <v>1087</v>
      </c>
      <c r="C332" s="3"/>
      <c r="D332" s="3"/>
      <c r="E332" s="3"/>
      <c r="F332" s="3"/>
      <c r="G332" s="3"/>
      <c r="H332" s="1420" t="s">
        <v>1189</v>
      </c>
      <c r="I332" s="1420"/>
      <c r="J332" s="1420"/>
      <c r="K332" s="1420"/>
      <c r="L332" s="1420"/>
      <c r="M332" s="1420"/>
      <c r="N332" s="3" t="s">
        <v>1088</v>
      </c>
      <c r="O332" s="3"/>
      <c r="P332" s="1405"/>
      <c r="Q332" s="1405"/>
      <c r="R332" s="1405"/>
      <c r="S332" s="3"/>
      <c r="T332" s="3" t="s">
        <v>1087</v>
      </c>
      <c r="V332" s="3"/>
      <c r="W332" s="3"/>
      <c r="X332" s="3"/>
      <c r="Y332" s="3"/>
      <c r="AA332" s="1420" t="s">
        <v>1190</v>
      </c>
      <c r="AB332" s="1420"/>
      <c r="AC332" s="1420"/>
      <c r="AD332" s="1420"/>
      <c r="AE332" s="1420"/>
      <c r="AF332" s="1420"/>
      <c r="AG332" s="3" t="s">
        <v>1088</v>
      </c>
      <c r="AH332" s="3"/>
      <c r="AI332" s="1405"/>
      <c r="AJ332" s="1405"/>
      <c r="AK332" s="1405"/>
    </row>
    <row r="333" spans="2:37" ht="12.95" customHeight="1">
      <c r="B333" s="3" t="s">
        <v>1089</v>
      </c>
      <c r="C333" s="3"/>
      <c r="D333" s="3"/>
      <c r="E333" s="3"/>
      <c r="F333" s="3"/>
      <c r="G333" s="3"/>
      <c r="H333" s="1334"/>
      <c r="I333" s="1334"/>
      <c r="J333" s="1334"/>
      <c r="K333" s="1334"/>
      <c r="L333" s="1334"/>
      <c r="M333" s="1334"/>
      <c r="N333" s="3"/>
      <c r="O333" s="3"/>
      <c r="P333" s="84"/>
      <c r="Q333" s="84"/>
      <c r="R333" s="84"/>
      <c r="S333" s="3"/>
      <c r="T333" s="3" t="s">
        <v>1089</v>
      </c>
      <c r="V333" s="3"/>
      <c r="W333" s="3"/>
      <c r="X333" s="3"/>
      <c r="Y333" s="3"/>
      <c r="AA333" s="1334"/>
      <c r="AB333" s="1334"/>
      <c r="AC333" s="1334"/>
      <c r="AD333" s="1334"/>
      <c r="AE333" s="1334"/>
      <c r="AF333" s="1334"/>
      <c r="AG333" s="3"/>
      <c r="AH333" s="3"/>
      <c r="AI333" s="84"/>
      <c r="AJ333" s="84"/>
      <c r="AK333" s="84"/>
    </row>
    <row r="334" spans="2:37" ht="12.95" customHeight="1">
      <c r="B334" s="3" t="s">
        <v>1144</v>
      </c>
      <c r="C334" s="3"/>
      <c r="D334" s="3"/>
      <c r="E334" s="3"/>
      <c r="F334" s="3"/>
      <c r="G334" s="3"/>
      <c r="H334" s="1350" t="s">
        <v>1191</v>
      </c>
      <c r="I334" s="1350"/>
      <c r="J334" s="1350"/>
      <c r="K334" s="1350"/>
      <c r="L334" s="1350"/>
      <c r="M334" s="1350"/>
      <c r="N334" s="1335"/>
      <c r="O334" s="1335"/>
      <c r="P334" s="1335"/>
      <c r="Q334" s="1335"/>
      <c r="R334" s="1335"/>
      <c r="S334" s="3"/>
      <c r="T334" s="3" t="s">
        <v>1144</v>
      </c>
      <c r="V334" s="3"/>
      <c r="W334" s="3"/>
      <c r="X334" s="3"/>
      <c r="Y334" s="3"/>
      <c r="AA334" s="1350" t="s">
        <v>1192</v>
      </c>
      <c r="AB334" s="1350"/>
      <c r="AC334" s="1350"/>
      <c r="AD334" s="1350"/>
      <c r="AE334" s="1350"/>
      <c r="AF334" s="1350"/>
      <c r="AG334" s="1335"/>
      <c r="AH334" s="1335"/>
      <c r="AI334" s="1335"/>
      <c r="AJ334" s="1335"/>
      <c r="AK334" s="1335"/>
    </row>
    <row r="335" spans="2:37" ht="12.95" customHeight="1">
      <c r="B335" s="3"/>
      <c r="C335" s="3"/>
      <c r="D335" s="3"/>
      <c r="E335" s="3"/>
      <c r="F335" s="3"/>
      <c r="G335" s="3"/>
      <c r="P335" s="1166"/>
      <c r="Q335" s="1166"/>
      <c r="R335" s="1166"/>
      <c r="S335" s="1166"/>
      <c r="T335" s="1166"/>
      <c r="U335" s="1166"/>
      <c r="V335" s="3"/>
      <c r="W335" s="3"/>
      <c r="X335" s="84"/>
      <c r="Y335" s="84"/>
      <c r="Z335" s="84"/>
    </row>
    <row r="336" spans="2:37" ht="12.95" customHeight="1">
      <c r="B336" s="3" t="s">
        <v>1193</v>
      </c>
      <c r="C336" s="3"/>
      <c r="D336" s="3"/>
      <c r="E336" s="3"/>
      <c r="F336" s="3"/>
      <c r="H336" s="1335" t="s">
        <v>1194</v>
      </c>
      <c r="I336" s="1335"/>
      <c r="J336" s="1335"/>
      <c r="K336" s="1335"/>
      <c r="L336" s="1335"/>
      <c r="M336" s="1335"/>
      <c r="N336" s="1335"/>
      <c r="O336" s="1335"/>
      <c r="P336" s="1335"/>
      <c r="Q336" s="1335"/>
      <c r="R336" s="1335"/>
      <c r="T336" s="3" t="s">
        <v>1195</v>
      </c>
      <c r="V336" s="3"/>
      <c r="W336" s="3"/>
      <c r="X336" s="3"/>
      <c r="Y336" s="3"/>
      <c r="AA336" s="1335" t="s">
        <v>826</v>
      </c>
      <c r="AB336" s="1335"/>
      <c r="AC336" s="1335"/>
      <c r="AD336" s="1335"/>
      <c r="AE336" s="1335"/>
      <c r="AF336" s="1335"/>
      <c r="AG336" s="1335"/>
      <c r="AH336" s="1335"/>
      <c r="AI336" s="1335"/>
      <c r="AJ336" s="1335"/>
      <c r="AK336" s="1335"/>
    </row>
    <row r="337" spans="2:66" ht="12.95" customHeight="1">
      <c r="B337" s="3" t="s">
        <v>1133</v>
      </c>
      <c r="C337" s="3"/>
      <c r="D337" s="3"/>
      <c r="E337" s="3"/>
      <c r="F337" s="3"/>
      <c r="H337" s="1350" t="s">
        <v>1196</v>
      </c>
      <c r="I337" s="1350"/>
      <c r="J337" s="1350"/>
      <c r="K337" s="1350"/>
      <c r="L337" s="1350"/>
      <c r="M337" s="1350"/>
      <c r="N337" s="1350"/>
      <c r="O337" s="1350"/>
      <c r="P337" s="1350"/>
      <c r="Q337" s="1350"/>
      <c r="R337" s="1350"/>
      <c r="T337" s="3" t="s">
        <v>1133</v>
      </c>
      <c r="V337" s="3"/>
      <c r="W337" s="3"/>
      <c r="X337" s="3"/>
      <c r="Y337" s="3"/>
      <c r="AA337" s="1350"/>
      <c r="AB337" s="1350"/>
      <c r="AC337" s="1350"/>
      <c r="AD337" s="1350"/>
      <c r="AE337" s="1350"/>
      <c r="AF337" s="1350"/>
      <c r="AG337" s="1350"/>
      <c r="AH337" s="1350"/>
      <c r="AI337" s="1350"/>
      <c r="AJ337" s="1350"/>
      <c r="AK337" s="1350"/>
    </row>
    <row r="338" spans="2:66" ht="12.95" customHeight="1">
      <c r="B338" s="3" t="s">
        <v>1136</v>
      </c>
      <c r="C338" s="3"/>
      <c r="D338" s="3"/>
      <c r="E338" s="3"/>
      <c r="F338" s="3"/>
      <c r="H338" s="1350" t="s">
        <v>1197</v>
      </c>
      <c r="I338" s="1350"/>
      <c r="J338" s="1350"/>
      <c r="K338" s="1350"/>
      <c r="L338" s="1350"/>
      <c r="M338" s="1350"/>
      <c r="N338" s="1350"/>
      <c r="O338" s="1350"/>
      <c r="P338" s="1350"/>
      <c r="Q338" s="1350"/>
      <c r="R338" s="1350"/>
      <c r="T338" s="3" t="s">
        <v>1138</v>
      </c>
      <c r="V338" s="3"/>
      <c r="W338" s="3"/>
      <c r="X338" s="3"/>
      <c r="Y338" s="3"/>
      <c r="AA338" s="1350"/>
      <c r="AB338" s="1350"/>
      <c r="AC338" s="1350"/>
      <c r="AD338" s="1350"/>
      <c r="AE338" s="1350"/>
      <c r="AF338" s="1350"/>
      <c r="AG338" s="1350"/>
      <c r="AH338" s="1350"/>
      <c r="AI338" s="1350"/>
      <c r="AJ338" s="1350"/>
      <c r="AK338" s="1350"/>
    </row>
    <row r="339" spans="2:66" ht="12.95" customHeight="1">
      <c r="B339" s="3" t="s">
        <v>1086</v>
      </c>
      <c r="C339" s="3"/>
      <c r="D339" s="3"/>
      <c r="E339" s="3"/>
      <c r="F339" s="3"/>
      <c r="H339" s="1350" t="s">
        <v>1198</v>
      </c>
      <c r="I339" s="1350"/>
      <c r="J339" s="1350"/>
      <c r="K339" s="1350"/>
      <c r="L339" s="1350"/>
      <c r="M339" s="1350"/>
      <c r="N339" s="1350"/>
      <c r="O339" s="1350"/>
      <c r="P339" s="1350"/>
      <c r="Q339" s="1350"/>
      <c r="R339" s="1350"/>
      <c r="T339" s="3" t="s">
        <v>1086</v>
      </c>
      <c r="V339" s="3"/>
      <c r="W339" s="3"/>
      <c r="X339" s="3"/>
      <c r="Y339" s="3"/>
      <c r="AA339" s="1350"/>
      <c r="AB339" s="1350"/>
      <c r="AC339" s="1350"/>
      <c r="AD339" s="1350"/>
      <c r="AE339" s="1350"/>
      <c r="AF339" s="1350"/>
      <c r="AG339" s="1350"/>
      <c r="AH339" s="1350"/>
      <c r="AI339" s="1350"/>
      <c r="AJ339" s="1350"/>
      <c r="AK339" s="1350"/>
    </row>
    <row r="340" spans="2:66" ht="12.95" customHeight="1">
      <c r="B340" s="3" t="s">
        <v>1087</v>
      </c>
      <c r="C340" s="3"/>
      <c r="D340" s="3"/>
      <c r="E340" s="3"/>
      <c r="F340" s="3"/>
      <c r="G340" s="3"/>
      <c r="H340" s="1420" t="s">
        <v>1199</v>
      </c>
      <c r="I340" s="1420"/>
      <c r="J340" s="1420"/>
      <c r="K340" s="1420"/>
      <c r="L340" s="1420"/>
      <c r="M340" s="1420"/>
      <c r="N340" s="3" t="s">
        <v>1088</v>
      </c>
      <c r="O340" s="3"/>
      <c r="P340" s="1405"/>
      <c r="Q340" s="1405"/>
      <c r="R340" s="1405"/>
      <c r="S340" s="3"/>
      <c r="T340" s="3" t="s">
        <v>1087</v>
      </c>
      <c r="V340" s="3"/>
      <c r="W340" s="3"/>
      <c r="X340" s="3"/>
      <c r="Y340" s="3"/>
      <c r="AA340" s="1420"/>
      <c r="AB340" s="1420"/>
      <c r="AC340" s="1420"/>
      <c r="AD340" s="1420"/>
      <c r="AE340" s="1420"/>
      <c r="AF340" s="1420"/>
      <c r="AG340" s="3" t="s">
        <v>1088</v>
      </c>
      <c r="AH340" s="3"/>
      <c r="AI340" s="1405"/>
      <c r="AJ340" s="1405"/>
      <c r="AK340" s="1405"/>
    </row>
    <row r="341" spans="2:66" ht="12.95" customHeight="1">
      <c r="B341" s="3" t="s">
        <v>1089</v>
      </c>
      <c r="C341" s="3"/>
      <c r="D341" s="3"/>
      <c r="E341" s="3"/>
      <c r="F341" s="3"/>
      <c r="G341" s="3"/>
      <c r="H341" s="1334" t="s">
        <v>1200</v>
      </c>
      <c r="I341" s="1334"/>
      <c r="J341" s="1334"/>
      <c r="K341" s="1334"/>
      <c r="L341" s="1334"/>
      <c r="M341" s="1334"/>
      <c r="N341" s="3"/>
      <c r="O341" s="3"/>
      <c r="P341" s="84"/>
      <c r="Q341" s="84"/>
      <c r="R341" s="84"/>
      <c r="S341" s="3"/>
      <c r="T341" s="3" t="s">
        <v>1089</v>
      </c>
      <c r="V341" s="3"/>
      <c r="W341" s="3"/>
      <c r="X341" s="3"/>
      <c r="Y341" s="3"/>
      <c r="AA341" s="1334"/>
      <c r="AB341" s="1334"/>
      <c r="AC341" s="1334"/>
      <c r="AD341" s="1334"/>
      <c r="AE341" s="1334"/>
      <c r="AF341" s="1334"/>
      <c r="AG341" s="3"/>
      <c r="AH341" s="3"/>
      <c r="AI341" s="84"/>
      <c r="AJ341" s="84"/>
      <c r="AK341" s="84"/>
    </row>
    <row r="342" spans="2:66" ht="12.95" customHeight="1">
      <c r="B342" s="3" t="s">
        <v>1144</v>
      </c>
      <c r="C342" s="3"/>
      <c r="D342" s="3"/>
      <c r="E342" s="3"/>
      <c r="F342" s="3"/>
      <c r="G342" s="3"/>
      <c r="H342" s="1350" t="s">
        <v>1201</v>
      </c>
      <c r="I342" s="1350"/>
      <c r="J342" s="1350"/>
      <c r="K342" s="1350"/>
      <c r="L342" s="1350"/>
      <c r="M342" s="1350"/>
      <c r="N342" s="1335"/>
      <c r="O342" s="1335"/>
      <c r="P342" s="1335"/>
      <c r="Q342" s="1335"/>
      <c r="R342" s="1335"/>
      <c r="S342" s="3"/>
      <c r="T342" s="3" t="s">
        <v>1144</v>
      </c>
      <c r="V342" s="3"/>
      <c r="W342" s="3"/>
      <c r="X342" s="3"/>
      <c r="Y342" s="3"/>
      <c r="AA342" s="1350"/>
      <c r="AB342" s="1350"/>
      <c r="AC342" s="1350"/>
      <c r="AD342" s="1350"/>
      <c r="AE342" s="1350"/>
      <c r="AF342" s="1350"/>
      <c r="AG342" s="1335"/>
      <c r="AH342" s="1335"/>
      <c r="AI342" s="1335"/>
      <c r="AJ342" s="1335"/>
      <c r="AK342" s="1335"/>
    </row>
    <row r="343" spans="2:66" ht="12.95" customHeight="1">
      <c r="B343" s="3"/>
      <c r="C343" s="3"/>
      <c r="D343" s="3"/>
      <c r="E343" s="3"/>
      <c r="F343" s="3"/>
      <c r="G343" s="3"/>
      <c r="P343" s="1166"/>
      <c r="Q343" s="1166"/>
      <c r="R343" s="1166"/>
      <c r="S343" s="1166"/>
      <c r="T343" s="1166"/>
      <c r="U343" s="1166"/>
      <c r="V343" s="3"/>
      <c r="W343" s="3"/>
      <c r="X343" s="84"/>
      <c r="Y343" s="84"/>
      <c r="Z343" s="84"/>
    </row>
    <row r="344" spans="2:66" ht="12.95" customHeight="1">
      <c r="B344" s="3" t="s">
        <v>1202</v>
      </c>
      <c r="C344" s="3"/>
      <c r="D344" s="3"/>
      <c r="E344" s="3"/>
      <c r="F344" s="3"/>
      <c r="H344" s="1335" t="s">
        <v>1203</v>
      </c>
      <c r="I344" s="1335"/>
      <c r="J344" s="1335"/>
      <c r="K344" s="1335"/>
      <c r="L344" s="1335"/>
      <c r="M344" s="1335"/>
      <c r="N344" s="1335"/>
      <c r="O344" s="1335"/>
      <c r="P344" s="1335"/>
      <c r="Q344" s="1335"/>
      <c r="R344" s="1335"/>
      <c r="T344" s="136" t="s">
        <v>1204</v>
      </c>
      <c r="V344" s="3"/>
      <c r="W344" s="3"/>
      <c r="X344" s="3"/>
      <c r="Y344" s="3"/>
      <c r="AA344" s="1335" t="s">
        <v>1095</v>
      </c>
      <c r="AB344" s="1335"/>
      <c r="AC344" s="1335"/>
      <c r="AD344" s="1335"/>
      <c r="AE344" s="1335"/>
      <c r="AF344" s="1335"/>
      <c r="AG344" s="1335"/>
      <c r="AH344" s="1335"/>
      <c r="AI344" s="1335"/>
      <c r="AJ344" s="1335"/>
      <c r="AK344" s="1335"/>
    </row>
    <row r="345" spans="2:66" ht="12.95" customHeight="1">
      <c r="B345" s="3" t="s">
        <v>1133</v>
      </c>
      <c r="C345" s="3"/>
      <c r="D345" s="3"/>
      <c r="E345" s="3"/>
      <c r="F345" s="3"/>
      <c r="H345" s="1350" t="s">
        <v>1205</v>
      </c>
      <c r="I345" s="1350"/>
      <c r="J345" s="1350"/>
      <c r="K345" s="1350"/>
      <c r="L345" s="1350"/>
      <c r="M345" s="1350"/>
      <c r="N345" s="1350"/>
      <c r="O345" s="1350"/>
      <c r="P345" s="1350"/>
      <c r="Q345" s="1350"/>
      <c r="R345" s="1350"/>
      <c r="T345" s="3" t="s">
        <v>1133</v>
      </c>
      <c r="V345" s="3"/>
      <c r="W345" s="3"/>
      <c r="X345" s="3"/>
      <c r="Y345" s="3"/>
      <c r="AA345" s="1350" t="s">
        <v>1134</v>
      </c>
      <c r="AB345" s="1350"/>
      <c r="AC345" s="1350"/>
      <c r="AD345" s="1350"/>
      <c r="AE345" s="1350"/>
      <c r="AF345" s="1350"/>
      <c r="AG345" s="1350"/>
      <c r="AH345" s="1350"/>
      <c r="AI345" s="1350"/>
      <c r="AJ345" s="1350"/>
      <c r="AK345" s="1350"/>
    </row>
    <row r="346" spans="2:66" ht="12.95" customHeight="1">
      <c r="B346" s="3" t="s">
        <v>1138</v>
      </c>
      <c r="C346" s="3"/>
      <c r="D346" s="3"/>
      <c r="E346" s="3"/>
      <c r="F346" s="3"/>
      <c r="H346" s="1350" t="s">
        <v>1206</v>
      </c>
      <c r="I346" s="1350"/>
      <c r="J346" s="1350"/>
      <c r="K346" s="1350"/>
      <c r="L346" s="1350"/>
      <c r="M346" s="1350"/>
      <c r="N346" s="1350"/>
      <c r="O346" s="1350"/>
      <c r="P346" s="1350"/>
      <c r="Q346" s="1350"/>
      <c r="R346" s="1350"/>
      <c r="T346" s="3" t="s">
        <v>1138</v>
      </c>
      <c r="V346" s="3"/>
      <c r="W346" s="3"/>
      <c r="X346" s="3"/>
      <c r="Y346" s="3"/>
      <c r="AA346" s="1350" t="s">
        <v>1137</v>
      </c>
      <c r="AB346" s="1350"/>
      <c r="AC346" s="1350"/>
      <c r="AD346" s="1350"/>
      <c r="AE346" s="1350"/>
      <c r="AF346" s="1350"/>
      <c r="AG346" s="1350"/>
      <c r="AH346" s="1350"/>
      <c r="AI346" s="1350"/>
      <c r="AJ346" s="1350"/>
      <c r="AK346" s="1350"/>
    </row>
    <row r="347" spans="2:66" ht="12.95" customHeight="1">
      <c r="B347" s="3" t="s">
        <v>1086</v>
      </c>
      <c r="C347" s="3"/>
      <c r="D347" s="3"/>
      <c r="E347" s="3"/>
      <c r="F347" s="3"/>
      <c r="G347" s="3"/>
      <c r="H347" s="1350" t="s">
        <v>1207</v>
      </c>
      <c r="I347" s="1350"/>
      <c r="J347" s="1350"/>
      <c r="K347" s="1350"/>
      <c r="L347" s="1350"/>
      <c r="M347" s="1350"/>
      <c r="N347" s="1350"/>
      <c r="O347" s="1350"/>
      <c r="P347" s="1350"/>
      <c r="Q347" s="1350"/>
      <c r="R347" s="1350"/>
      <c r="T347" s="3" t="s">
        <v>1086</v>
      </c>
      <c r="V347" s="3"/>
      <c r="W347" s="3"/>
      <c r="X347" s="3"/>
      <c r="Y347" s="3"/>
      <c r="AA347" s="1350" t="s">
        <v>1208</v>
      </c>
      <c r="AB347" s="1350"/>
      <c r="AC347" s="1350"/>
      <c r="AD347" s="1350"/>
      <c r="AE347" s="1350"/>
      <c r="AF347" s="1350"/>
      <c r="AG347" s="1350"/>
      <c r="AH347" s="1350"/>
      <c r="AI347" s="1350"/>
      <c r="AJ347" s="1350"/>
      <c r="AK347" s="1350"/>
    </row>
    <row r="348" spans="2:66" ht="12.95" customHeight="1">
      <c r="B348" s="3" t="s">
        <v>1087</v>
      </c>
      <c r="C348" s="3"/>
      <c r="D348" s="3"/>
      <c r="E348" s="3"/>
      <c r="F348" s="3"/>
      <c r="G348" s="3"/>
      <c r="H348" s="1420" t="s">
        <v>1209</v>
      </c>
      <c r="I348" s="1420"/>
      <c r="J348" s="1420"/>
      <c r="K348" s="1420"/>
      <c r="L348" s="1420"/>
      <c r="M348" s="1420"/>
      <c r="N348" s="3" t="s">
        <v>1088</v>
      </c>
      <c r="O348" s="3"/>
      <c r="P348" s="1405"/>
      <c r="Q348" s="1405"/>
      <c r="R348" s="1405"/>
      <c r="S348" s="3"/>
      <c r="T348" s="3" t="s">
        <v>1087</v>
      </c>
      <c r="V348" s="3"/>
      <c r="W348" s="3"/>
      <c r="X348" s="3"/>
      <c r="Y348" s="3"/>
      <c r="AA348" s="1420" t="s">
        <v>1210</v>
      </c>
      <c r="AB348" s="1420"/>
      <c r="AC348" s="1420"/>
      <c r="AD348" s="1420"/>
      <c r="AE348" s="1420"/>
      <c r="AF348" s="1420"/>
      <c r="AG348" s="3" t="s">
        <v>1088</v>
      </c>
      <c r="AH348" s="3"/>
      <c r="AI348" s="1405"/>
      <c r="AJ348" s="1405"/>
      <c r="AK348" s="1405"/>
    </row>
    <row r="349" spans="2:66" ht="12.95" customHeight="1">
      <c r="B349" s="3" t="s">
        <v>1089</v>
      </c>
      <c r="C349" s="3"/>
      <c r="D349" s="3"/>
      <c r="E349" s="3"/>
      <c r="F349" s="3"/>
      <c r="G349" s="3"/>
      <c r="H349" s="1334" t="s">
        <v>1211</v>
      </c>
      <c r="I349" s="1334"/>
      <c r="J349" s="1334"/>
      <c r="K349" s="1334"/>
      <c r="L349" s="1334"/>
      <c r="M349" s="1334"/>
      <c r="N349" s="3"/>
      <c r="O349" s="3"/>
      <c r="P349" s="84"/>
      <c r="Q349" s="84"/>
      <c r="R349" s="84"/>
      <c r="S349" s="3"/>
      <c r="T349" s="3" t="s">
        <v>1089</v>
      </c>
      <c r="V349" s="3"/>
      <c r="W349" s="3"/>
      <c r="X349" s="3"/>
      <c r="Y349" s="3"/>
      <c r="AA349" s="1334" t="s">
        <v>1210</v>
      </c>
      <c r="AB349" s="1334"/>
      <c r="AC349" s="1334"/>
      <c r="AD349" s="1334"/>
      <c r="AE349" s="1334"/>
      <c r="AF349" s="1334"/>
      <c r="AG349" s="3"/>
      <c r="AH349" s="3"/>
      <c r="AI349" s="84"/>
      <c r="AJ349" s="84"/>
      <c r="AK349" s="84"/>
    </row>
    <row r="350" spans="2:66" ht="12.95" customHeight="1">
      <c r="B350" s="3" t="s">
        <v>1144</v>
      </c>
      <c r="C350" s="3"/>
      <c r="D350" s="3"/>
      <c r="E350" s="3"/>
      <c r="F350" s="3"/>
      <c r="G350" s="3"/>
      <c r="H350" s="1350" t="s">
        <v>1212</v>
      </c>
      <c r="I350" s="1350"/>
      <c r="J350" s="1350"/>
      <c r="K350" s="1350"/>
      <c r="L350" s="1350"/>
      <c r="M350" s="1350"/>
      <c r="N350" s="1335"/>
      <c r="O350" s="1335"/>
      <c r="P350" s="1335"/>
      <c r="Q350" s="1335"/>
      <c r="R350" s="1335"/>
      <c r="S350" s="3"/>
      <c r="T350" s="3" t="s">
        <v>1144</v>
      </c>
      <c r="V350" s="3"/>
      <c r="W350" s="3"/>
      <c r="X350" s="3"/>
      <c r="Y350" s="3"/>
      <c r="AA350" s="1350" t="s">
        <v>1213</v>
      </c>
      <c r="AB350" s="1350"/>
      <c r="AC350" s="1350"/>
      <c r="AD350" s="1350"/>
      <c r="AE350" s="1350"/>
      <c r="AF350" s="1350"/>
      <c r="AG350" s="1335"/>
      <c r="AH350" s="1335"/>
      <c r="AI350" s="1335"/>
      <c r="AJ350" s="1335"/>
      <c r="AK350" s="1335"/>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2.95" customHeight="1">
      <c r="B352" s="3"/>
      <c r="C352" s="3"/>
      <c r="D352" s="3"/>
      <c r="E352" s="3"/>
      <c r="F352" s="3"/>
      <c r="I352" s="136" t="s">
        <v>1214</v>
      </c>
      <c r="P352" s="1335"/>
      <c r="Q352" s="1335"/>
      <c r="R352" s="1335"/>
      <c r="S352" s="1335"/>
      <c r="T352" s="1335"/>
      <c r="U352" s="1335"/>
      <c r="V352" s="1335"/>
      <c r="W352" s="1335"/>
      <c r="X352" s="1335"/>
      <c r="Y352" s="1335"/>
      <c r="Z352" s="1335"/>
      <c r="AA352" s="1335"/>
      <c r="AB352" s="1335"/>
      <c r="AC352" s="1335"/>
      <c r="AD352" s="1335"/>
      <c r="AE352" s="1335"/>
      <c r="BN352" t="s">
        <v>701</v>
      </c>
    </row>
    <row r="353" spans="1:66" ht="12.95" customHeight="1">
      <c r="B353" s="3"/>
      <c r="C353" s="3"/>
      <c r="D353" s="3"/>
      <c r="E353" s="3"/>
      <c r="F353" s="3"/>
      <c r="I353" s="3" t="s">
        <v>1133</v>
      </c>
      <c r="P353" s="1350"/>
      <c r="Q353" s="1350"/>
      <c r="R353" s="1350"/>
      <c r="S353" s="1350"/>
      <c r="T353" s="1350"/>
      <c r="U353" s="1350"/>
      <c r="V353" s="1350"/>
      <c r="W353" s="1350"/>
      <c r="X353" s="1350"/>
      <c r="Y353" s="1350"/>
      <c r="Z353" s="1350"/>
      <c r="AA353" s="1350"/>
      <c r="AB353" s="1350"/>
      <c r="AC353" s="1350"/>
      <c r="AD353" s="1350"/>
      <c r="AE353" s="1350"/>
      <c r="BN353" t="s">
        <v>862</v>
      </c>
    </row>
    <row r="354" spans="1:66" ht="12.95" customHeight="1">
      <c r="B354" s="3"/>
      <c r="C354" s="3"/>
      <c r="D354" s="3"/>
      <c r="E354" s="3"/>
      <c r="F354" s="3"/>
      <c r="I354" s="3" t="s">
        <v>1138</v>
      </c>
      <c r="P354" s="1350"/>
      <c r="Q354" s="1350"/>
      <c r="R354" s="1350"/>
      <c r="S354" s="1350"/>
      <c r="T354" s="1350"/>
      <c r="U354" s="1350"/>
      <c r="V354" s="1350"/>
      <c r="W354" s="1350"/>
      <c r="X354" s="1350"/>
      <c r="Y354" s="1350"/>
      <c r="Z354" s="1350"/>
      <c r="AA354" s="1350"/>
      <c r="AB354" s="1350"/>
      <c r="AC354" s="1350"/>
      <c r="AD354" s="1350"/>
      <c r="AE354" s="1350"/>
    </row>
    <row r="355" spans="1:66" ht="12.95" customHeight="1">
      <c r="B355" s="3"/>
      <c r="C355" s="3"/>
      <c r="D355" s="3"/>
      <c r="E355" s="3"/>
      <c r="F355" s="3"/>
      <c r="G355" s="3"/>
      <c r="I355" s="3" t="s">
        <v>1086</v>
      </c>
      <c r="P355" s="1350"/>
      <c r="Q355" s="1350"/>
      <c r="R355" s="1350"/>
      <c r="S355" s="1350"/>
      <c r="T355" s="1350"/>
      <c r="U355" s="1350"/>
      <c r="V355" s="1350"/>
      <c r="W355" s="1350"/>
      <c r="X355" s="1350"/>
      <c r="Y355" s="1350"/>
      <c r="Z355" s="1350"/>
      <c r="AA355" s="1350"/>
      <c r="AB355" s="1350"/>
      <c r="AC355" s="1350"/>
      <c r="AD355" s="1350"/>
      <c r="AE355" s="1350"/>
    </row>
    <row r="356" spans="1:66" ht="12.95" customHeight="1">
      <c r="B356" s="3"/>
      <c r="C356" s="3"/>
      <c r="D356" s="3"/>
      <c r="E356" s="3"/>
      <c r="F356" s="3"/>
      <c r="G356" s="3"/>
      <c r="H356" s="1167"/>
      <c r="I356" s="3" t="s">
        <v>1087</v>
      </c>
      <c r="P356" s="1334"/>
      <c r="Q356" s="1334"/>
      <c r="R356" s="1334"/>
      <c r="S356" s="1334"/>
      <c r="T356" s="1334"/>
      <c r="U356" s="1334"/>
      <c r="V356" s="1334"/>
      <c r="W356" s="1334"/>
      <c r="X356" s="1334"/>
      <c r="Y356" s="1334"/>
      <c r="Z356" s="1334"/>
      <c r="AA356" s="3" t="s">
        <v>1088</v>
      </c>
      <c r="AB356" s="3"/>
      <c r="AC356" s="1274"/>
      <c r="AD356" s="1274"/>
      <c r="AE356" s="1274"/>
      <c r="AF356" s="1167"/>
      <c r="AG356" s="3"/>
      <c r="AH356" s="3"/>
      <c r="AI356" s="3"/>
      <c r="AJ356" s="3"/>
      <c r="AK356" s="3"/>
    </row>
    <row r="357" spans="1:66" ht="12.95" customHeight="1">
      <c r="B357" s="3"/>
      <c r="C357" s="3"/>
      <c r="D357" s="3"/>
      <c r="E357" s="3"/>
      <c r="F357" s="3"/>
      <c r="G357" s="3"/>
      <c r="H357" s="1167"/>
      <c r="I357" s="3" t="s">
        <v>1089</v>
      </c>
      <c r="P357" s="1334"/>
      <c r="Q357" s="1334"/>
      <c r="R357" s="1334"/>
      <c r="S357" s="1334"/>
      <c r="T357" s="1334"/>
      <c r="U357" s="1334"/>
      <c r="V357" s="1334"/>
      <c r="W357" s="1334"/>
      <c r="X357" s="1334"/>
      <c r="Y357" s="1334"/>
      <c r="Z357" s="1334"/>
      <c r="AF357" s="1167"/>
      <c r="AG357" s="3"/>
      <c r="AH357" s="3"/>
      <c r="AI357" s="84"/>
      <c r="AJ357" s="84"/>
      <c r="AK357" s="84"/>
    </row>
    <row r="358" spans="1:66" ht="12.95" customHeight="1">
      <c r="B358" s="3"/>
      <c r="C358" s="3"/>
      <c r="D358" s="3"/>
      <c r="E358" s="3"/>
      <c r="F358" s="3"/>
      <c r="G358" s="3"/>
      <c r="I358" s="3" t="s">
        <v>1144</v>
      </c>
      <c r="P358" s="1335"/>
      <c r="Q358" s="1335"/>
      <c r="R358" s="1335"/>
      <c r="S358" s="1335"/>
      <c r="T358" s="1335"/>
      <c r="U358" s="1335"/>
      <c r="V358" s="1335"/>
      <c r="W358" s="1335"/>
      <c r="X358" s="1335"/>
      <c r="Y358" s="1335"/>
      <c r="Z358" s="1335"/>
      <c r="AA358" s="1335"/>
      <c r="AB358" s="1335"/>
      <c r="AC358" s="1335"/>
      <c r="AD358" s="1335"/>
      <c r="AE358" s="1335"/>
    </row>
    <row r="359" spans="1:66" ht="12.95" customHeight="1">
      <c r="T359" s="7"/>
      <c r="U359" s="7"/>
      <c r="V359" s="7"/>
      <c r="W359" s="7"/>
      <c r="X359" s="7"/>
      <c r="Y359" s="7"/>
      <c r="Z359" s="7"/>
      <c r="AU359" s="70"/>
      <c r="AV359" s="70"/>
      <c r="AW359" s="70"/>
      <c r="AX359" s="70"/>
      <c r="AY359" s="70"/>
    </row>
    <row r="360" spans="1:66" ht="12.95" customHeight="1">
      <c r="A360" s="1419" t="s">
        <v>1215</v>
      </c>
      <c r="B360" s="1419"/>
      <c r="C360" s="1419"/>
      <c r="D360" s="1419"/>
      <c r="E360" s="1419"/>
      <c r="F360" s="1419"/>
      <c r="G360" s="1419"/>
      <c r="H360" s="1419"/>
      <c r="I360" s="1419"/>
      <c r="J360" s="1419"/>
      <c r="K360" s="1419"/>
      <c r="L360" s="1419"/>
      <c r="M360" s="1419"/>
      <c r="N360" s="1419"/>
      <c r="O360" s="1419"/>
      <c r="P360" s="1419"/>
      <c r="Q360" s="1419"/>
      <c r="R360" s="1419"/>
      <c r="S360" s="1419"/>
      <c r="T360" s="1419"/>
      <c r="U360" s="1419"/>
      <c r="V360" s="1419"/>
      <c r="W360" s="1419"/>
      <c r="X360" s="1419"/>
      <c r="Y360" s="1419"/>
      <c r="Z360" s="1419"/>
      <c r="AA360" s="1419"/>
      <c r="AB360" s="1419"/>
      <c r="AC360" s="1419"/>
      <c r="AD360" s="1419"/>
      <c r="AE360" s="1419"/>
      <c r="AF360" s="1419"/>
      <c r="AG360" s="1419"/>
      <c r="AH360" s="1419"/>
      <c r="AI360" s="1419"/>
      <c r="AJ360" s="1419"/>
      <c r="AK360" s="1419"/>
      <c r="AL360" s="1419"/>
      <c r="AM360" s="1419"/>
      <c r="AN360" s="1419"/>
      <c r="AO360" s="1419"/>
      <c r="AP360" s="1419"/>
      <c r="AQ360" s="1419"/>
      <c r="AR360" s="1419"/>
      <c r="AS360" s="1419"/>
      <c r="AT360" s="1419"/>
      <c r="AU360" s="70"/>
      <c r="AV360" s="70"/>
      <c r="AW360" s="70"/>
      <c r="AX360" s="70"/>
      <c r="AY360" s="70"/>
    </row>
    <row r="361" spans="1:66" ht="12.95" customHeight="1">
      <c r="A361" s="1419"/>
      <c r="B361" s="1419"/>
      <c r="C361" s="1419"/>
      <c r="D361" s="1419"/>
      <c r="E361" s="1419"/>
      <c r="F361" s="1419"/>
      <c r="G361" s="1419"/>
      <c r="H361" s="1419"/>
      <c r="I361" s="1419"/>
      <c r="J361" s="1419"/>
      <c r="K361" s="1419"/>
      <c r="L361" s="1419"/>
      <c r="M361" s="1419"/>
      <c r="N361" s="1419"/>
      <c r="O361" s="1419"/>
      <c r="P361" s="1419"/>
      <c r="Q361" s="1419"/>
      <c r="R361" s="1419"/>
      <c r="S361" s="1419"/>
      <c r="T361" s="1419"/>
      <c r="U361" s="1419"/>
      <c r="V361" s="1419"/>
      <c r="W361" s="1419"/>
      <c r="X361" s="1419"/>
      <c r="Y361" s="1419"/>
      <c r="Z361" s="1419"/>
      <c r="AA361" s="1419"/>
      <c r="AB361" s="1419"/>
      <c r="AC361" s="1419"/>
      <c r="AD361" s="1419"/>
      <c r="AE361" s="1419"/>
      <c r="AF361" s="1419"/>
      <c r="AG361" s="1419"/>
      <c r="AH361" s="1419"/>
      <c r="AI361" s="1419"/>
      <c r="AJ361" s="1419"/>
      <c r="AK361" s="1419"/>
      <c r="AL361" s="1419"/>
      <c r="AM361" s="1419"/>
      <c r="AN361" s="1419"/>
      <c r="AO361" s="1419"/>
      <c r="AP361" s="1419"/>
      <c r="AQ361" s="1419"/>
      <c r="AR361" s="1419"/>
      <c r="AS361" s="1419"/>
      <c r="AT361" s="1419"/>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887</v>
      </c>
      <c r="B363" s="2"/>
      <c r="C363" s="2" t="s">
        <v>1216</v>
      </c>
    </row>
    <row r="364" spans="1:66" ht="12.95" customHeight="1">
      <c r="D364" s="3" t="s">
        <v>693</v>
      </c>
      <c r="M364" s="1229" t="s">
        <v>862</v>
      </c>
      <c r="N364" s="1229"/>
      <c r="P364" t="s">
        <v>1217</v>
      </c>
      <c r="AJ364" s="1229" t="s">
        <v>826</v>
      </c>
      <c r="AK364" s="1229"/>
    </row>
    <row r="365" spans="1:66" ht="12.95" customHeight="1">
      <c r="D365" s="3" t="s">
        <v>691</v>
      </c>
      <c r="M365" s="1229" t="s">
        <v>826</v>
      </c>
      <c r="N365" s="1229"/>
      <c r="P365" s="3" t="s">
        <v>1218</v>
      </c>
      <c r="AJ365" s="1387"/>
      <c r="AK365" s="1387"/>
    </row>
    <row r="366" spans="1:66" ht="12.95" customHeight="1">
      <c r="D366" s="3" t="s">
        <v>1219</v>
      </c>
      <c r="M366" s="1229" t="s">
        <v>826</v>
      </c>
      <c r="N366" s="1229"/>
      <c r="P366" t="s">
        <v>1220</v>
      </c>
      <c r="AJ366" s="1229" t="s">
        <v>826</v>
      </c>
      <c r="AK366" s="1229"/>
    </row>
    <row r="367" spans="1:66" ht="12.95" customHeight="1">
      <c r="D367" s="3" t="s">
        <v>1221</v>
      </c>
      <c r="M367" s="1229" t="s">
        <v>826</v>
      </c>
      <c r="N367" s="1229"/>
      <c r="Q367" s="3"/>
    </row>
    <row r="368" spans="1:66" ht="12.95" customHeight="1">
      <c r="Q368" s="3"/>
    </row>
    <row r="369" spans="1:34" ht="12.95" customHeight="1">
      <c r="Q369" s="3"/>
    </row>
    <row r="370" spans="1:34" ht="12.95" customHeight="1">
      <c r="A370" s="2" t="s">
        <v>928</v>
      </c>
      <c r="B370" s="2"/>
      <c r="C370" s="2" t="s">
        <v>1222</v>
      </c>
      <c r="D370" s="2"/>
    </row>
    <row r="371" spans="1:34" ht="12.95" customHeight="1">
      <c r="D371" s="31" t="s">
        <v>1223</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1224</v>
      </c>
      <c r="E372" s="32"/>
      <c r="F372" s="32"/>
      <c r="G372" s="32"/>
      <c r="H372" s="32"/>
      <c r="I372" s="32"/>
      <c r="J372" s="32"/>
      <c r="K372" s="32"/>
      <c r="L372" s="32"/>
      <c r="M372" s="32"/>
      <c r="N372" s="1229" t="s">
        <v>826</v>
      </c>
      <c r="O372" s="1229"/>
      <c r="P372" s="32"/>
      <c r="Q372" s="32"/>
      <c r="R372" s="32"/>
      <c r="S372" s="32"/>
      <c r="T372" s="32"/>
      <c r="U372" s="32"/>
      <c r="V372" s="32"/>
      <c r="W372" s="32"/>
      <c r="X372" s="32"/>
      <c r="Y372" s="32"/>
      <c r="Z372" s="32"/>
      <c r="AC372" s="32"/>
      <c r="AD372" s="32"/>
      <c r="AE372" s="32"/>
    </row>
    <row r="373" spans="1:34" ht="12.95" customHeight="1">
      <c r="E373" t="s">
        <v>1225</v>
      </c>
      <c r="Y373" s="1229" t="s">
        <v>826</v>
      </c>
      <c r="Z373" s="1229"/>
    </row>
    <row r="374" spans="1:34" ht="12.95" customHeight="1">
      <c r="D374" s="3" t="s">
        <v>1226</v>
      </c>
      <c r="Q374" s="1335"/>
      <c r="R374" s="1335"/>
      <c r="S374" s="1335"/>
      <c r="T374" s="1335"/>
      <c r="U374" s="1335"/>
      <c r="V374" s="1335"/>
      <c r="W374" s="1335"/>
      <c r="X374" s="1335"/>
      <c r="Y374" s="1335"/>
      <c r="Z374" s="1335"/>
      <c r="AA374" s="1335"/>
      <c r="AB374" s="1335"/>
      <c r="AC374" s="1335"/>
      <c r="AD374" s="1335"/>
      <c r="AE374" s="1335"/>
      <c r="AF374" s="1335"/>
      <c r="AG374" s="1335"/>
    </row>
    <row r="375" spans="1:34" ht="12.95" customHeight="1">
      <c r="D375" t="s">
        <v>1227</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1228</v>
      </c>
      <c r="E376" s="32"/>
      <c r="F376" s="32"/>
      <c r="G376" s="32"/>
      <c r="H376" s="32"/>
      <c r="I376" s="32"/>
      <c r="J376" s="1229" t="s">
        <v>826</v>
      </c>
      <c r="K376" s="1229"/>
      <c r="L376" s="32"/>
      <c r="M376" s="32"/>
      <c r="N376" s="32"/>
      <c r="O376" s="32"/>
      <c r="P376" s="32"/>
      <c r="Q376" s="32"/>
      <c r="R376" s="32"/>
      <c r="S376" s="32"/>
      <c r="T376" s="32"/>
      <c r="U376" s="32"/>
      <c r="V376" s="32"/>
      <c r="W376" s="32"/>
      <c r="X376" s="32"/>
      <c r="Y376" s="32"/>
      <c r="Z376" s="32"/>
      <c r="AC376" s="32"/>
      <c r="AD376" s="32"/>
      <c r="AE376" s="32"/>
    </row>
    <row r="377" spans="1:34" ht="12.95" customHeight="1">
      <c r="E377" s="1404" t="s">
        <v>1229</v>
      </c>
      <c r="F377" s="1404"/>
      <c r="G377" s="1404"/>
      <c r="H377" s="1404"/>
      <c r="I377" s="1404"/>
      <c r="J377" s="1404"/>
      <c r="K377" s="1404"/>
      <c r="L377" s="1404"/>
      <c r="M377" s="1404"/>
      <c r="N377" s="1404"/>
      <c r="O377" s="1404"/>
      <c r="P377" s="1404"/>
      <c r="Q377" s="1404"/>
      <c r="R377" s="1404"/>
      <c r="S377" s="1404"/>
      <c r="T377" s="1404"/>
      <c r="U377" s="1404"/>
      <c r="V377" s="1404"/>
      <c r="W377" s="1404"/>
      <c r="X377" s="1404"/>
      <c r="Y377" s="1404"/>
      <c r="Z377" s="1404"/>
      <c r="AA377" s="1404"/>
      <c r="AB377" s="1404"/>
      <c r="AC377" s="1404"/>
      <c r="AD377" s="1404"/>
      <c r="AE377" s="1404"/>
      <c r="AF377" s="1404"/>
      <c r="AG377" s="1404"/>
      <c r="AH377" s="1404"/>
    </row>
    <row r="378" spans="1:34" ht="12.95" customHeight="1">
      <c r="E378" s="1404"/>
      <c r="F378" s="1404"/>
      <c r="G378" s="1404"/>
      <c r="H378" s="1404"/>
      <c r="I378" s="1404"/>
      <c r="J378" s="1404"/>
      <c r="K378" s="1404"/>
      <c r="L378" s="1404"/>
      <c r="M378" s="1404"/>
      <c r="N378" s="1404"/>
      <c r="O378" s="1404"/>
      <c r="P378" s="1404"/>
      <c r="Q378" s="1404"/>
      <c r="R378" s="1404"/>
      <c r="S378" s="1404"/>
      <c r="T378" s="1404"/>
      <c r="U378" s="1404"/>
      <c r="V378" s="1404"/>
      <c r="W378" s="1404"/>
      <c r="X378" s="1404"/>
      <c r="Y378" s="1404"/>
      <c r="Z378" s="1404"/>
      <c r="AA378" s="1404"/>
      <c r="AB378" s="1404"/>
      <c r="AC378" s="1404"/>
      <c r="AD378" s="1404"/>
      <c r="AE378" s="1404"/>
      <c r="AF378" s="1404"/>
      <c r="AG378" s="1404"/>
      <c r="AH378" s="1404"/>
    </row>
    <row r="379" spans="1:34" ht="12.95" customHeight="1">
      <c r="E379" s="3" t="s">
        <v>1230</v>
      </c>
      <c r="F379" s="3"/>
      <c r="G379" s="3"/>
      <c r="H379" s="3"/>
      <c r="I379" s="3"/>
      <c r="J379" s="3"/>
      <c r="K379" s="3"/>
      <c r="L379" s="3"/>
      <c r="N379" s="1409"/>
      <c r="O379" s="1409"/>
      <c r="P379" s="1409"/>
      <c r="Q379" s="1409"/>
      <c r="R379" s="3"/>
      <c r="U379" s="3" t="s">
        <v>1231</v>
      </c>
      <c r="V379" s="3"/>
      <c r="W379" s="3"/>
      <c r="X379" s="3"/>
      <c r="Y379" s="3"/>
      <c r="Z379" s="3"/>
      <c r="AA379" s="3"/>
      <c r="AB379" s="3"/>
      <c r="AC379" s="1409"/>
      <c r="AD379" s="1409"/>
      <c r="AE379" s="1409"/>
      <c r="AF379" s="1409"/>
    </row>
    <row r="380" spans="1:34" ht="12.95" customHeight="1">
      <c r="E380" s="3" t="s">
        <v>1232</v>
      </c>
      <c r="F380" s="3"/>
      <c r="G380" s="3"/>
      <c r="H380" s="3"/>
      <c r="I380" s="3"/>
      <c r="J380" s="3"/>
      <c r="K380" s="3"/>
      <c r="L380" s="3"/>
      <c r="N380" s="1409"/>
      <c r="O380" s="1409"/>
      <c r="P380" s="1409"/>
      <c r="Q380" s="1409"/>
      <c r="R380" s="3"/>
      <c r="U380" s="3" t="s">
        <v>1233</v>
      </c>
      <c r="V380" s="3"/>
      <c r="W380" s="3"/>
      <c r="X380" s="3"/>
      <c r="Y380" s="3"/>
      <c r="Z380" s="3"/>
      <c r="AA380" s="3"/>
      <c r="AB380" s="3"/>
      <c r="AC380" s="1409"/>
      <c r="AD380" s="1409"/>
      <c r="AE380" s="1409"/>
      <c r="AF380" s="1409"/>
    </row>
    <row r="381" spans="1:34" ht="12.95" customHeight="1">
      <c r="E381" s="3" t="s">
        <v>1234</v>
      </c>
      <c r="F381" s="3"/>
      <c r="G381" s="3"/>
      <c r="H381" s="3"/>
      <c r="I381" s="3"/>
      <c r="J381" s="3"/>
      <c r="K381" s="3"/>
      <c r="L381" s="3"/>
      <c r="N381" s="1409"/>
      <c r="O381" s="1409"/>
      <c r="P381" s="1409"/>
      <c r="Q381" s="1409"/>
      <c r="R381" s="3"/>
      <c r="V381" s="3"/>
      <c r="W381" s="3"/>
      <c r="X381" s="3"/>
      <c r="Y381" s="3"/>
      <c r="Z381" s="3"/>
      <c r="AA381" s="3"/>
      <c r="AB381" s="3"/>
    </row>
    <row r="382" spans="1:34" ht="12.95" customHeight="1">
      <c r="E382" s="3" t="s">
        <v>1235</v>
      </c>
      <c r="F382" s="3"/>
      <c r="G382" s="3"/>
      <c r="H382" s="3"/>
      <c r="I382" s="3"/>
      <c r="J382" s="3"/>
      <c r="K382" s="3"/>
      <c r="L382" s="3"/>
      <c r="N382" s="1680"/>
      <c r="O382" s="1680"/>
      <c r="P382" s="1680"/>
      <c r="Q382" s="1680"/>
      <c r="R382" s="1680"/>
      <c r="S382" s="1680"/>
      <c r="T382" s="1680"/>
      <c r="U382" s="1680"/>
      <c r="V382" s="1680"/>
      <c r="W382" s="1680"/>
      <c r="X382" s="1680"/>
      <c r="Y382" s="1680"/>
      <c r="Z382" s="1680"/>
      <c r="AA382" s="1680"/>
      <c r="AB382" s="1680"/>
      <c r="AC382" s="1680"/>
      <c r="AD382" s="1680"/>
      <c r="AE382" s="1680"/>
      <c r="AF382" s="1680"/>
    </row>
    <row r="383" spans="1:34" ht="12.95" customHeight="1">
      <c r="E383" s="3"/>
      <c r="F383" s="3"/>
      <c r="G383" s="3"/>
      <c r="H383" s="3"/>
      <c r="I383" s="3"/>
      <c r="J383" s="3"/>
      <c r="K383" s="3"/>
      <c r="L383" s="3"/>
      <c r="N383" s="1681"/>
      <c r="O383" s="1681"/>
      <c r="P383" s="1681"/>
      <c r="Q383" s="1681"/>
      <c r="R383" s="1681"/>
      <c r="S383" s="1681"/>
      <c r="T383" s="1681"/>
      <c r="U383" s="1681"/>
      <c r="V383" s="1681"/>
      <c r="W383" s="1681"/>
      <c r="X383" s="1681"/>
      <c r="Y383" s="1681"/>
      <c r="Z383" s="1681"/>
      <c r="AA383" s="1681"/>
      <c r="AB383" s="1681"/>
      <c r="AC383" s="1681"/>
      <c r="AD383" s="1681"/>
      <c r="AE383" s="1681"/>
      <c r="AF383" s="1681"/>
    </row>
    <row r="384" spans="1:34" ht="12.95" customHeight="1">
      <c r="C384" s="412"/>
      <c r="E384" s="3"/>
      <c r="F384" s="3"/>
      <c r="G384" s="3"/>
      <c r="H384" s="3"/>
      <c r="I384" s="3"/>
      <c r="J384" s="3"/>
      <c r="K384" s="3"/>
      <c r="L384" s="3"/>
    </row>
    <row r="385" spans="1:36" ht="12.95" customHeight="1">
      <c r="D385" s="2" t="s">
        <v>1236</v>
      </c>
      <c r="E385" s="2"/>
      <c r="F385" s="3"/>
      <c r="G385" s="3"/>
      <c r="H385" s="3"/>
      <c r="I385" s="3"/>
      <c r="J385" s="3"/>
      <c r="K385" s="3"/>
      <c r="L385" s="3"/>
    </row>
    <row r="386" spans="1:36" ht="12.95" customHeight="1">
      <c r="E386" s="3" t="s">
        <v>1237</v>
      </c>
      <c r="F386" s="3"/>
      <c r="G386" s="3"/>
      <c r="H386" s="3"/>
      <c r="I386" s="3"/>
      <c r="J386" s="3"/>
      <c r="K386" s="3"/>
      <c r="L386" s="3"/>
      <c r="N386" t="s">
        <v>904</v>
      </c>
      <c r="R386" s="23" t="s">
        <v>905</v>
      </c>
      <c r="S386" s="1631"/>
      <c r="T386" s="1631"/>
      <c r="U386" s="1" t="s">
        <v>906</v>
      </c>
      <c r="V386" s="1631"/>
      <c r="W386" s="1631"/>
      <c r="Y386" t="s">
        <v>904</v>
      </c>
      <c r="AC386" s="23" t="s">
        <v>905</v>
      </c>
      <c r="AD386" s="1631"/>
      <c r="AE386" s="1631"/>
      <c r="AF386" s="1" t="s">
        <v>906</v>
      </c>
      <c r="AG386" s="1631"/>
      <c r="AH386" s="1631"/>
    </row>
    <row r="387" spans="1:36" ht="12.95" customHeight="1">
      <c r="E387" s="3" t="s">
        <v>1238</v>
      </c>
      <c r="F387" s="3"/>
      <c r="G387" s="3"/>
      <c r="H387" s="3"/>
      <c r="I387" s="3"/>
      <c r="J387" s="3"/>
      <c r="K387" s="3"/>
      <c r="L387" s="3"/>
      <c r="N387" s="1631"/>
      <c r="O387" s="1631"/>
      <c r="P387" s="1631"/>
    </row>
    <row r="388" spans="1:36" ht="12.95" customHeight="1">
      <c r="E388" s="136" t="s">
        <v>1239</v>
      </c>
      <c r="F388" s="3"/>
      <c r="G388" s="3"/>
      <c r="H388" s="3"/>
      <c r="I388" s="3"/>
      <c r="J388" s="3"/>
      <c r="K388" s="3"/>
      <c r="L388" s="3"/>
      <c r="AG388" s="1675" t="s">
        <v>826</v>
      </c>
      <c r="AH388" s="1675"/>
    </row>
    <row r="389" spans="1:36" ht="12.95" customHeight="1">
      <c r="E389" s="3"/>
      <c r="F389" s="3"/>
      <c r="G389" s="3" t="s">
        <v>1240</v>
      </c>
      <c r="H389" s="3"/>
      <c r="I389" s="3"/>
      <c r="J389" s="3"/>
      <c r="K389" s="3"/>
      <c r="L389" s="3"/>
      <c r="AG389" s="1675" t="s">
        <v>826</v>
      </c>
      <c r="AH389" s="1675"/>
    </row>
    <row r="390" spans="1:36" ht="12.95" customHeight="1">
      <c r="E390" s="3"/>
      <c r="F390" s="3"/>
      <c r="G390" s="225" t="s">
        <v>1241</v>
      </c>
      <c r="H390" s="3"/>
      <c r="I390" s="3"/>
      <c r="J390" s="3"/>
      <c r="K390" s="3"/>
      <c r="L390" s="3"/>
      <c r="V390" s="1229" t="s">
        <v>826</v>
      </c>
      <c r="W390" s="1229"/>
      <c r="Y390" s="19" t="s">
        <v>1242</v>
      </c>
    </row>
    <row r="391" spans="1:36" ht="12.95" customHeight="1">
      <c r="E391" s="3" t="s">
        <v>1243</v>
      </c>
      <c r="F391" s="3"/>
      <c r="G391" s="3"/>
      <c r="H391" s="3"/>
      <c r="I391" s="3"/>
      <c r="J391" s="3"/>
      <c r="K391" s="3"/>
      <c r="L391" s="3"/>
      <c r="V391" s="1229" t="s">
        <v>826</v>
      </c>
      <c r="W391" s="1229"/>
      <c r="Y391" s="3" t="s">
        <v>1244</v>
      </c>
    </row>
    <row r="392" spans="1:36" ht="12.95" customHeight="1"/>
    <row r="393" spans="1:36" ht="12.95" customHeight="1">
      <c r="A393" s="2" t="s">
        <v>1245</v>
      </c>
      <c r="B393" s="2"/>
    </row>
    <row r="394" spans="1:36" ht="12.95" customHeight="1">
      <c r="D394" t="s">
        <v>1246</v>
      </c>
      <c r="J394" s="1335" t="s">
        <v>1247</v>
      </c>
      <c r="K394" s="1335"/>
      <c r="L394" s="1335"/>
      <c r="M394" s="1335"/>
      <c r="N394" s="1335"/>
      <c r="O394" s="1335"/>
      <c r="P394" s="1335"/>
      <c r="Q394" s="1335"/>
      <c r="R394" s="1335"/>
      <c r="S394" s="1335"/>
      <c r="T394" s="1335"/>
      <c r="U394" s="1335"/>
      <c r="V394" s="7" t="s">
        <v>1248</v>
      </c>
      <c r="W394" s="7"/>
      <c r="X394" s="7"/>
      <c r="Y394" s="7"/>
      <c r="Z394" s="7"/>
      <c r="AA394" s="7"/>
      <c r="AB394" s="7"/>
      <c r="AC394" s="1335" t="s">
        <v>806</v>
      </c>
      <c r="AD394" s="1335"/>
      <c r="AE394" s="1335"/>
      <c r="AF394" s="1335"/>
      <c r="AG394" s="1335"/>
      <c r="AH394" s="1335"/>
      <c r="AI394" s="1335"/>
      <c r="AJ394" s="1335"/>
    </row>
    <row r="395" spans="1:36" ht="12.95" customHeight="1">
      <c r="D395" s="3" t="s">
        <v>1249</v>
      </c>
      <c r="J395" s="1350" t="s">
        <v>806</v>
      </c>
      <c r="K395" s="1350"/>
      <c r="L395" s="1350"/>
      <c r="M395" s="1350"/>
      <c r="N395" s="1350"/>
      <c r="O395" s="1350"/>
      <c r="P395" s="1350"/>
      <c r="Q395" s="1350"/>
      <c r="R395" s="1350"/>
      <c r="S395" s="1350"/>
      <c r="T395" s="1350"/>
      <c r="U395" s="1350"/>
      <c r="V395" s="3" t="s">
        <v>1249</v>
      </c>
      <c r="W395" s="7"/>
      <c r="X395" s="7"/>
      <c r="Y395" s="7"/>
      <c r="Z395" s="7"/>
      <c r="AA395" s="7"/>
      <c r="AB395" s="7"/>
      <c r="AC395" s="1335"/>
      <c r="AD395" s="1335"/>
      <c r="AE395" s="1335"/>
      <c r="AF395" s="1335"/>
      <c r="AG395" s="1335"/>
      <c r="AH395" s="1335"/>
      <c r="AI395" s="1335"/>
      <c r="AJ395" s="1335"/>
    </row>
    <row r="396" spans="1:36" ht="12.95" customHeight="1">
      <c r="D396" s="3" t="s">
        <v>825</v>
      </c>
      <c r="J396" s="1350" t="s">
        <v>1250</v>
      </c>
      <c r="K396" s="1350"/>
      <c r="L396" s="1350"/>
      <c r="M396" s="1350"/>
      <c r="N396" s="1350"/>
      <c r="O396" s="1350"/>
      <c r="P396" s="1350"/>
      <c r="Q396" s="1350"/>
      <c r="R396" s="1350"/>
      <c r="S396" s="1350"/>
      <c r="T396" s="1350"/>
      <c r="U396" s="1350"/>
      <c r="V396" s="3" t="s">
        <v>825</v>
      </c>
      <c r="W396" s="7"/>
      <c r="X396" s="7"/>
      <c r="Y396" s="7"/>
      <c r="Z396" s="7"/>
      <c r="AA396" s="7"/>
      <c r="AB396" s="7"/>
      <c r="AC396" s="1335" t="s">
        <v>1250</v>
      </c>
      <c r="AD396" s="1335"/>
      <c r="AE396" s="1335"/>
      <c r="AF396" s="1335"/>
      <c r="AG396" s="1335"/>
      <c r="AH396" s="1335"/>
      <c r="AI396" s="1335"/>
      <c r="AJ396" s="1335"/>
    </row>
    <row r="397" spans="1:36" ht="12.95" customHeight="1">
      <c r="D397" t="s">
        <v>1251</v>
      </c>
      <c r="J397" s="1268" t="s">
        <v>1252</v>
      </c>
      <c r="K397" s="1268"/>
      <c r="L397" s="1268"/>
      <c r="M397" s="1268"/>
      <c r="N397" s="1268"/>
      <c r="O397" s="1268"/>
      <c r="P397" s="1268"/>
      <c r="Q397" s="1268"/>
      <c r="R397" s="1268"/>
      <c r="S397" s="1268"/>
      <c r="T397" s="1268"/>
      <c r="U397" s="1268"/>
      <c r="V397" s="1335"/>
      <c r="W397" s="1335"/>
      <c r="X397" s="1335"/>
      <c r="Y397" s="1335"/>
      <c r="Z397" s="1335"/>
      <c r="AA397" s="1335"/>
      <c r="AB397" s="1335"/>
      <c r="AC397" s="1335"/>
      <c r="AD397" s="1335"/>
      <c r="AE397" s="1335"/>
      <c r="AF397" s="1335"/>
      <c r="AG397" s="1335"/>
      <c r="AH397" s="1335"/>
      <c r="AI397" s="1335"/>
      <c r="AJ397" s="1335"/>
    </row>
    <row r="398" spans="1:36" ht="12.95" customHeight="1">
      <c r="D398" t="s">
        <v>1253</v>
      </c>
      <c r="Q398" s="1689">
        <v>45264</v>
      </c>
      <c r="R398" s="1689"/>
      <c r="S398" s="1689"/>
      <c r="T398" s="1689"/>
      <c r="U398" s="1689"/>
      <c r="V398" t="s">
        <v>1254</v>
      </c>
      <c r="AI398" s="1229" t="s">
        <v>701</v>
      </c>
      <c r="AJ398" s="1229"/>
    </row>
    <row r="399" spans="1:36" ht="12.95" customHeight="1">
      <c r="D399" t="s">
        <v>1255</v>
      </c>
      <c r="Q399" s="1510">
        <v>46752</v>
      </c>
      <c r="R399" s="1690"/>
      <c r="S399" s="1690"/>
      <c r="T399" s="1690"/>
      <c r="U399" s="1690"/>
      <c r="W399" s="18" t="s">
        <v>1256</v>
      </c>
      <c r="AG399" s="1632" t="s">
        <v>826</v>
      </c>
      <c r="AH399" s="1632"/>
      <c r="AI399" s="1632"/>
      <c r="AJ399" s="1632"/>
    </row>
    <row r="400" spans="1:36" ht="12.95" customHeight="1">
      <c r="D400" t="s">
        <v>1257</v>
      </c>
      <c r="Q400" s="1271">
        <v>1805673</v>
      </c>
      <c r="R400" s="1271"/>
      <c r="S400" s="1271"/>
      <c r="T400" s="1271"/>
      <c r="U400" s="1271"/>
      <c r="V400" s="3" t="s">
        <v>1258</v>
      </c>
      <c r="AG400" s="1637">
        <v>46419</v>
      </c>
      <c r="AH400" s="1637"/>
      <c r="AI400" s="1637"/>
      <c r="AJ400" s="1637"/>
    </row>
    <row r="401" spans="4:36" ht="12.95" customHeight="1">
      <c r="D401" t="s">
        <v>1087</v>
      </c>
      <c r="I401" s="1420"/>
      <c r="J401" s="1420"/>
      <c r="K401" s="1420"/>
      <c r="L401" s="1420"/>
      <c r="M401" s="1420"/>
      <c r="N401" s="1420"/>
      <c r="Q401" s="3" t="s">
        <v>1088</v>
      </c>
      <c r="S401" s="1700"/>
      <c r="T401" s="1700"/>
      <c r="U401" s="1700"/>
      <c r="V401" t="s">
        <v>1259</v>
      </c>
      <c r="AI401" s="1229" t="s">
        <v>701</v>
      </c>
      <c r="AJ401" s="1229"/>
    </row>
    <row r="402" spans="4:36" ht="12.95" customHeight="1">
      <c r="D402" t="s">
        <v>1260</v>
      </c>
      <c r="Q402" s="1314"/>
      <c r="R402" s="1314"/>
      <c r="S402" s="1314"/>
      <c r="T402" s="1314"/>
      <c r="U402" s="1314"/>
      <c r="V402" t="s">
        <v>1261</v>
      </c>
      <c r="AG402" s="1632">
        <v>499088</v>
      </c>
      <c r="AH402" s="1632"/>
      <c r="AI402" s="1632"/>
      <c r="AJ402" s="1632"/>
    </row>
    <row r="403" spans="4:36" ht="12.95" customHeight="1">
      <c r="D403" t="s">
        <v>1262</v>
      </c>
      <c r="Q403" s="1694"/>
      <c r="R403" s="1694"/>
      <c r="S403" s="1694"/>
      <c r="T403" s="1694"/>
      <c r="U403" s="1694"/>
      <c r="V403" t="s">
        <v>1263</v>
      </c>
      <c r="AG403" s="1632">
        <v>0</v>
      </c>
      <c r="AH403" s="1632"/>
      <c r="AI403" s="1632"/>
      <c r="AJ403" s="1632"/>
    </row>
    <row r="404" spans="4:36" ht="12.95" customHeight="1">
      <c r="D404" t="s">
        <v>1264</v>
      </c>
      <c r="AG404" s="1632">
        <v>0</v>
      </c>
      <c r="AH404" s="1632"/>
      <c r="AI404" s="1632"/>
      <c r="AJ404" s="1632"/>
    </row>
    <row r="405" spans="4:36" ht="12.95" customHeight="1">
      <c r="AG405" s="1168"/>
      <c r="AH405" s="1168"/>
      <c r="AI405" s="1168"/>
      <c r="AJ405" s="1168"/>
    </row>
    <row r="406" spans="4:36" ht="12.95" customHeight="1">
      <c r="D406" s="3" t="s">
        <v>1265</v>
      </c>
      <c r="AG406" s="1168"/>
      <c r="AH406" s="1168"/>
      <c r="AI406" s="1229" t="s">
        <v>701</v>
      </c>
      <c r="AJ406" s="1229"/>
    </row>
    <row r="407" spans="4:36" ht="12.95" customHeight="1">
      <c r="D407" s="3" t="s">
        <v>1266</v>
      </c>
      <c r="T407" s="1636"/>
      <c r="U407" s="1636"/>
      <c r="V407" s="1636"/>
      <c r="W407" s="1636"/>
      <c r="X407" s="1636"/>
      <c r="Y407" s="1636"/>
      <c r="Z407" s="1636"/>
      <c r="AA407" s="1636"/>
      <c r="AB407" s="1636"/>
      <c r="AC407" s="1636"/>
      <c r="AD407" s="1636"/>
      <c r="AE407" s="1636"/>
      <c r="AF407" s="1636"/>
      <c r="AG407" s="1636"/>
      <c r="AH407" s="1636"/>
      <c r="AI407" s="1636"/>
      <c r="AJ407" s="1636"/>
    </row>
    <row r="408" spans="4:36" ht="12.95" customHeight="1">
      <c r="D408" s="3" t="s">
        <v>1267</v>
      </c>
      <c r="T408" s="1636"/>
      <c r="U408" s="1636"/>
      <c r="V408" s="1636"/>
      <c r="W408" s="1636"/>
      <c r="X408" s="1636"/>
      <c r="Y408" s="1636"/>
      <c r="Z408" s="1636"/>
      <c r="AA408" s="1636"/>
      <c r="AB408" s="1636"/>
      <c r="AC408" s="1636"/>
      <c r="AD408" s="1636"/>
      <c r="AE408" s="1636"/>
      <c r="AF408" s="1636"/>
      <c r="AG408" s="1636"/>
      <c r="AH408" s="1636"/>
      <c r="AI408" s="1636"/>
      <c r="AJ408" s="1636"/>
    </row>
    <row r="409" spans="4:36" ht="12.95" customHeight="1">
      <c r="AG409" s="1168"/>
      <c r="AH409" s="1168"/>
      <c r="AI409" s="1168"/>
      <c r="AJ409" s="1168"/>
    </row>
    <row r="410" spans="4:36" ht="12.95" customHeight="1">
      <c r="D410" s="3" t="s">
        <v>1268</v>
      </c>
      <c r="S410" s="1636" t="s">
        <v>701</v>
      </c>
      <c r="T410" s="1636"/>
      <c r="U410" s="1636"/>
      <c r="V410" t="s">
        <v>1269</v>
      </c>
      <c r="AG410" s="1649"/>
      <c r="AH410" s="1649"/>
      <c r="AI410" s="1649"/>
      <c r="AJ410" s="1649"/>
    </row>
    <row r="411" spans="4:36" ht="12.95" customHeight="1">
      <c r="D411" s="3" t="s">
        <v>1270</v>
      </c>
      <c r="S411" s="1636" t="s">
        <v>826</v>
      </c>
      <c r="T411" s="1636"/>
      <c r="U411" s="1636"/>
      <c r="V411" t="s">
        <v>1271</v>
      </c>
      <c r="AE411" s="1691"/>
      <c r="AF411" s="1691"/>
      <c r="AG411" s="1691"/>
      <c r="AH411" s="1691"/>
      <c r="AI411" s="1691"/>
      <c r="AJ411" s="1691"/>
    </row>
    <row r="412" spans="4:36" ht="12.95" customHeight="1">
      <c r="D412" s="3" t="s">
        <v>1272</v>
      </c>
      <c r="K412" s="1638"/>
      <c r="L412" s="1638"/>
      <c r="M412" s="1638"/>
      <c r="N412" s="1638"/>
      <c r="O412" s="1638"/>
      <c r="P412" s="1638"/>
      <c r="Q412" s="1638"/>
      <c r="R412" s="1638"/>
      <c r="S412" s="1638"/>
      <c r="T412" s="1638"/>
      <c r="U412" s="1638"/>
      <c r="V412" s="1638"/>
      <c r="W412" s="1638"/>
      <c r="X412" s="1638"/>
      <c r="Y412" s="1638"/>
      <c r="Z412" s="1638"/>
      <c r="AA412" s="1638"/>
      <c r="AB412" s="1638"/>
      <c r="AC412" s="1638"/>
      <c r="AD412" s="1638"/>
      <c r="AE412" s="1638"/>
      <c r="AF412" s="1638"/>
      <c r="AG412" s="1638"/>
      <c r="AH412" s="1638"/>
      <c r="AI412" s="1638"/>
      <c r="AJ412" s="1638"/>
    </row>
    <row r="413" spans="4:36" ht="12.95" customHeight="1">
      <c r="D413" s="3" t="s">
        <v>1273</v>
      </c>
      <c r="K413" s="1638"/>
      <c r="L413" s="1638"/>
      <c r="M413" s="1638"/>
      <c r="N413" s="1638"/>
      <c r="O413" s="1638"/>
      <c r="P413" s="1638"/>
      <c r="Q413" s="1638"/>
      <c r="R413" s="1638"/>
      <c r="S413" s="1638"/>
      <c r="T413" s="1638"/>
      <c r="U413" s="1638"/>
      <c r="V413" s="1638"/>
      <c r="W413" s="1638"/>
      <c r="X413" s="1638"/>
      <c r="Y413" s="1638"/>
      <c r="Z413" s="1638"/>
      <c r="AA413" s="1638"/>
      <c r="AB413" s="1638"/>
      <c r="AC413" s="1638"/>
      <c r="AD413" s="1638"/>
      <c r="AE413" s="1638"/>
      <c r="AF413" s="1638"/>
      <c r="AG413" s="1638"/>
      <c r="AH413" s="1638"/>
      <c r="AI413" s="1638"/>
      <c r="AJ413" s="1638"/>
    </row>
    <row r="414" spans="4:36" ht="12.95" customHeight="1">
      <c r="D414" s="3" t="s">
        <v>1274</v>
      </c>
      <c r="E414" s="378"/>
      <c r="F414" s="378"/>
      <c r="G414" s="378"/>
      <c r="H414" s="378"/>
      <c r="I414" s="378"/>
      <c r="J414" s="378"/>
      <c r="K414" s="378"/>
      <c r="L414" s="378"/>
      <c r="M414" s="378"/>
      <c r="N414" s="378"/>
      <c r="O414" s="378"/>
      <c r="P414" s="378"/>
      <c r="Q414" s="378"/>
      <c r="R414" s="378"/>
      <c r="S414" s="1685" t="s">
        <v>1045</v>
      </c>
      <c r="T414" s="1685"/>
      <c r="U414" s="1685"/>
      <c r="V414" s="1685"/>
      <c r="W414" s="1685"/>
      <c r="X414" s="1685"/>
      <c r="Y414" s="1685"/>
      <c r="Z414" s="1685"/>
      <c r="AA414" s="1685"/>
      <c r="AB414" s="1685"/>
      <c r="AC414" s="1685"/>
      <c r="AD414" s="1685"/>
      <c r="AE414" s="1685"/>
      <c r="AF414" s="1685"/>
      <c r="AG414" s="1685"/>
      <c r="AH414" s="1685"/>
      <c r="AI414" s="1685"/>
      <c r="AJ414" s="1685"/>
    </row>
    <row r="415" spans="4:36" ht="12.95" customHeight="1">
      <c r="D415" s="1479" t="s">
        <v>1275</v>
      </c>
      <c r="E415" s="1479"/>
      <c r="F415" s="1479"/>
      <c r="G415" s="1479"/>
      <c r="H415" s="1479"/>
      <c r="I415" s="1479"/>
      <c r="J415" s="1479"/>
      <c r="K415" s="1479"/>
      <c r="L415" s="1479"/>
      <c r="M415" s="1479"/>
      <c r="N415" s="1479"/>
      <c r="O415" s="1479"/>
      <c r="P415" s="1479"/>
      <c r="Q415" s="1479"/>
      <c r="R415" s="1479"/>
      <c r="S415" s="1479"/>
      <c r="T415" s="1479"/>
      <c r="U415" s="1479"/>
      <c r="V415" s="1479"/>
      <c r="W415" s="1479"/>
      <c r="X415" s="1479"/>
      <c r="Y415" s="1479"/>
      <c r="Z415" s="1479"/>
      <c r="AA415" s="1479"/>
      <c r="AB415" s="1479"/>
      <c r="AC415" s="1479"/>
      <c r="AD415" s="1479"/>
      <c r="AE415" s="1479"/>
      <c r="AF415" s="1479"/>
      <c r="AG415" s="1479"/>
      <c r="AH415" s="1479"/>
      <c r="AI415" s="1479"/>
      <c r="AJ415" s="1479"/>
    </row>
    <row r="416" spans="4:36" ht="12.95" customHeight="1">
      <c r="D416" s="1479"/>
      <c r="E416" s="1479"/>
      <c r="F416" s="1479"/>
      <c r="G416" s="1479"/>
      <c r="H416" s="1479"/>
      <c r="I416" s="1479"/>
      <c r="J416" s="1479"/>
      <c r="K416" s="1479"/>
      <c r="L416" s="1479"/>
      <c r="M416" s="1479"/>
      <c r="N416" s="1479"/>
      <c r="O416" s="1479"/>
      <c r="P416" s="1479"/>
      <c r="Q416" s="1479"/>
      <c r="R416" s="1479"/>
      <c r="S416" s="1479"/>
      <c r="T416" s="1479"/>
      <c r="U416" s="1479"/>
      <c r="V416" s="1479"/>
      <c r="W416" s="1479"/>
      <c r="X416" s="1479"/>
      <c r="Y416" s="1479"/>
      <c r="Z416" s="1479"/>
      <c r="AA416" s="1479"/>
      <c r="AB416" s="1479"/>
      <c r="AC416" s="1479"/>
      <c r="AD416" s="1479"/>
      <c r="AE416" s="1479"/>
      <c r="AF416" s="1479"/>
      <c r="AG416" s="1479"/>
      <c r="AH416" s="1479"/>
      <c r="AI416" s="1479"/>
      <c r="AJ416" s="1479"/>
    </row>
    <row r="417" spans="1:39" ht="12.95" customHeight="1">
      <c r="AG417" s="1168"/>
      <c r="AH417" s="1168"/>
      <c r="AI417" s="1168"/>
      <c r="AJ417" s="1168"/>
    </row>
    <row r="418" spans="1:39" ht="12.95" customHeight="1">
      <c r="A418" s="2" t="s">
        <v>1025</v>
      </c>
      <c r="B418" s="2"/>
      <c r="C418" s="2" t="s">
        <v>145</v>
      </c>
    </row>
    <row r="419" spans="1:39" ht="12.95" customHeight="1">
      <c r="B419" s="2"/>
      <c r="C419" s="2"/>
      <c r="D419" s="2" t="s">
        <v>1276</v>
      </c>
      <c r="I419" s="1405" t="s">
        <v>1277</v>
      </c>
      <c r="J419" s="1405"/>
      <c r="K419" s="1405"/>
      <c r="L419" s="1405"/>
      <c r="M419" s="1405"/>
      <c r="N419" s="1405"/>
      <c r="O419" s="1405"/>
      <c r="P419" s="1405"/>
      <c r="Q419" s="1405"/>
      <c r="R419" s="1405"/>
      <c r="S419" s="1405"/>
      <c r="T419" s="1405"/>
      <c r="U419" s="1405"/>
      <c r="V419" s="1405"/>
      <c r="W419" s="1405"/>
      <c r="X419" s="1405"/>
      <c r="Y419" s="1405"/>
      <c r="Z419" s="1405"/>
      <c r="AA419" s="1405"/>
      <c r="AB419" s="1405"/>
      <c r="AC419" s="1405"/>
      <c r="AD419" s="1405"/>
      <c r="AE419" s="1405"/>
    </row>
    <row r="420" spans="1:39" ht="12.95" customHeight="1">
      <c r="E420" t="s">
        <v>1278</v>
      </c>
      <c r="R420" s="1229" t="s">
        <v>826</v>
      </c>
      <c r="S420" s="1229"/>
      <c r="AC420" s="23" t="s">
        <v>1279</v>
      </c>
      <c r="AD420" s="1409"/>
      <c r="AE420" s="1409"/>
    </row>
    <row r="421" spans="1:39" ht="12.95" customHeight="1">
      <c r="E421" t="s">
        <v>1280</v>
      </c>
      <c r="R421" s="1229" t="s">
        <v>862</v>
      </c>
      <c r="S421" s="1229"/>
      <c r="AC421" s="23" t="s">
        <v>1279</v>
      </c>
      <c r="AD421" s="1409">
        <v>2</v>
      </c>
      <c r="AE421" s="1409"/>
    </row>
    <row r="422" spans="1:39" ht="12.95" customHeight="1">
      <c r="E422" t="s">
        <v>1281</v>
      </c>
      <c r="S422" s="1229" t="s">
        <v>826</v>
      </c>
      <c r="T422" s="1229"/>
    </row>
    <row r="423" spans="1:39" ht="12.95" customHeight="1">
      <c r="E423" t="s">
        <v>233</v>
      </c>
      <c r="H423" s="1695" t="s">
        <v>1282</v>
      </c>
      <c r="I423" s="1695"/>
      <c r="J423" s="1695"/>
      <c r="K423" s="1695"/>
      <c r="L423" s="1695"/>
      <c r="M423" s="1695"/>
      <c r="N423" s="1695"/>
      <c r="O423" s="1695"/>
      <c r="P423" s="1695"/>
      <c r="Q423" s="1695"/>
      <c r="R423" s="1695"/>
      <c r="S423" s="1695"/>
      <c r="T423" s="1695"/>
      <c r="U423" s="1695"/>
      <c r="V423" s="1695"/>
      <c r="W423" s="1695"/>
      <c r="X423" s="1695"/>
      <c r="Y423" s="1695"/>
      <c r="Z423" s="1695"/>
      <c r="AA423" s="1695"/>
      <c r="AB423" s="1695"/>
      <c r="AC423" s="1695"/>
      <c r="AD423" s="1695"/>
      <c r="AE423" s="1695"/>
    </row>
    <row r="424" spans="1:39" ht="12.95" customHeight="1">
      <c r="H424" s="1696"/>
      <c r="I424" s="1696"/>
      <c r="J424" s="1696"/>
      <c r="K424" s="1696"/>
      <c r="L424" s="1696"/>
      <c r="M424" s="1696"/>
      <c r="N424" s="1696"/>
      <c r="O424" s="1696"/>
      <c r="P424" s="1696"/>
      <c r="Q424" s="1696"/>
      <c r="R424" s="1696"/>
      <c r="S424" s="1696"/>
      <c r="T424" s="1696"/>
      <c r="U424" s="1696"/>
      <c r="V424" s="1696"/>
      <c r="W424" s="1696"/>
      <c r="X424" s="1696"/>
      <c r="Y424" s="1696"/>
      <c r="Z424" s="1696"/>
      <c r="AA424" s="1696"/>
      <c r="AB424" s="1696"/>
      <c r="AC424" s="1696"/>
      <c r="AD424" s="1696"/>
      <c r="AE424" s="1696"/>
    </row>
    <row r="425" spans="1:39" ht="12.95" customHeight="1"/>
    <row r="426" spans="1:39" ht="12.95" customHeight="1">
      <c r="A426" s="2" t="s">
        <v>1037</v>
      </c>
      <c r="B426" s="2"/>
      <c r="C426" s="2"/>
      <c r="D426" s="2" t="s">
        <v>150</v>
      </c>
      <c r="AF426" s="2" t="s">
        <v>1283</v>
      </c>
    </row>
    <row r="427" spans="1:39" ht="12.95" customHeight="1">
      <c r="E427" s="1631"/>
      <c r="F427" s="1631"/>
      <c r="G427" s="1631"/>
      <c r="H427" s="12" t="s">
        <v>1284</v>
      </c>
      <c r="I427" s="1631"/>
      <c r="J427" s="1631"/>
      <c r="K427" s="1631"/>
      <c r="L427" t="s">
        <v>1285</v>
      </c>
      <c r="N427" s="23" t="s">
        <v>36</v>
      </c>
      <c r="P427" s="1686">
        <v>5.43</v>
      </c>
      <c r="Q427" s="1686"/>
      <c r="R427" s="1686"/>
      <c r="S427" t="s">
        <v>1286</v>
      </c>
      <c r="W427" s="1684">
        <f>IF(E427&gt;0,(E427*I427),(P427*43560))</f>
        <v>236530.8</v>
      </c>
      <c r="X427" s="1684"/>
      <c r="Y427" s="1684"/>
      <c r="Z427" t="s">
        <v>1287</v>
      </c>
      <c r="AF427" s="1650">
        <f>IFERROR(IF(P427&gt;0,(AG446/P427),(AG446/(W427/43560))),0)</f>
        <v>18.41620626151013</v>
      </c>
      <c r="AG427" s="1650"/>
      <c r="AH427" s="1650"/>
      <c r="AM427" s="3"/>
    </row>
    <row r="428" spans="1:39" ht="12.95" customHeight="1">
      <c r="E428" t="s">
        <v>1288</v>
      </c>
    </row>
    <row r="429" spans="1:39" ht="12.95" customHeight="1">
      <c r="E429" s="1698"/>
      <c r="F429" s="1698"/>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1698"/>
      <c r="AG429" s="1698"/>
      <c r="AH429" s="1698"/>
      <c r="AI429" s="1698"/>
      <c r="AJ429" s="1698"/>
    </row>
    <row r="430" spans="1:39" ht="12.95" customHeight="1">
      <c r="E430" s="84" t="s">
        <v>1289</v>
      </c>
      <c r="F430" s="18"/>
      <c r="G430" s="18"/>
      <c r="H430" s="18"/>
      <c r="I430" s="1693">
        <v>5.43</v>
      </c>
      <c r="J430" s="1693"/>
      <c r="K430" s="1693"/>
      <c r="L430" s="18"/>
      <c r="M430" s="84"/>
      <c r="N430" s="18"/>
      <c r="O430" s="18"/>
      <c r="P430" s="1688">
        <f>(DU763+DU786+DU808)/I430</f>
        <v>33.885819521178639</v>
      </c>
      <c r="Q430" s="1688"/>
      <c r="R430" s="1688"/>
      <c r="S430" s="84" t="s">
        <v>1290</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1064</v>
      </c>
      <c r="B432" s="2"/>
      <c r="C432" s="2"/>
      <c r="D432" s="2" t="s">
        <v>152</v>
      </c>
    </row>
    <row r="433" spans="1:36" ht="12.95" customHeight="1">
      <c r="E433" t="s">
        <v>1291</v>
      </c>
      <c r="P433" s="1229">
        <v>7</v>
      </c>
      <c r="Q433" s="1229"/>
      <c r="S433" t="s">
        <v>1292</v>
      </c>
      <c r="AE433" s="1229">
        <v>4</v>
      </c>
      <c r="AF433" s="1229"/>
    </row>
    <row r="434" spans="1:36" ht="12.95" customHeight="1">
      <c r="E434" t="s">
        <v>1293</v>
      </c>
      <c r="P434" s="1229">
        <v>0</v>
      </c>
      <c r="Q434" s="1229"/>
      <c r="S434" t="s">
        <v>1294</v>
      </c>
      <c r="AE434" s="1229" t="s">
        <v>826</v>
      </c>
      <c r="AF434" s="1229"/>
    </row>
    <row r="435" spans="1:36" ht="12.95" customHeight="1">
      <c r="F435" s="19" t="s">
        <v>1295</v>
      </c>
    </row>
    <row r="436" spans="1:36" ht="12.95" customHeight="1">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674"/>
      <c r="AG436" s="1674"/>
      <c r="AH436" s="1674"/>
    </row>
    <row r="437" spans="1:36" ht="12.95" customHeight="1">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628"/>
      <c r="AG437" s="1628"/>
      <c r="AH437" s="1628"/>
    </row>
    <row r="438" spans="1:36" ht="12.95" customHeight="1">
      <c r="E438" t="s">
        <v>1296</v>
      </c>
      <c r="P438" s="1"/>
      <c r="Q438" s="1229" t="s">
        <v>862</v>
      </c>
      <c r="R438" s="1229"/>
    </row>
    <row r="439" spans="1:36" ht="12.95" customHeight="1">
      <c r="F439" t="s">
        <v>1297</v>
      </c>
      <c r="P439" s="1"/>
      <c r="Q439" s="1"/>
      <c r="AF439" s="1229" t="s">
        <v>826</v>
      </c>
      <c r="AG439" s="1692"/>
    </row>
    <row r="440" spans="1:36" ht="12.95" customHeight="1"/>
    <row r="441" spans="1:36" ht="12.95" customHeight="1">
      <c r="A441" s="2"/>
      <c r="B441" s="2"/>
      <c r="C441" s="2"/>
      <c r="E441" s="3" t="s">
        <v>1298</v>
      </c>
      <c r="Z441" s="1229" t="s">
        <v>701</v>
      </c>
      <c r="AA441" s="1229"/>
    </row>
    <row r="442" spans="1:36" ht="12.95" customHeight="1">
      <c r="F442" s="31" t="s">
        <v>1299</v>
      </c>
      <c r="G442" s="32"/>
      <c r="H442" s="32"/>
      <c r="I442" s="32"/>
      <c r="J442" s="32"/>
      <c r="K442" s="32"/>
      <c r="L442" s="32"/>
      <c r="M442" s="32"/>
      <c r="N442" s="32"/>
      <c r="O442" s="32"/>
      <c r="P442" s="32"/>
      <c r="Q442" s="32"/>
      <c r="R442" s="32"/>
      <c r="S442" s="32"/>
      <c r="T442" s="32"/>
      <c r="U442" s="32"/>
      <c r="V442" s="32"/>
      <c r="W442" s="32"/>
      <c r="AB442" s="32"/>
    </row>
    <row r="443" spans="1:36" ht="12.95" customHeight="1">
      <c r="F443" t="s">
        <v>1300</v>
      </c>
      <c r="G443" s="32"/>
      <c r="I443" s="32"/>
      <c r="J443" s="32"/>
      <c r="K443" s="32"/>
      <c r="L443" s="32"/>
      <c r="M443" s="32"/>
      <c r="N443" s="32"/>
      <c r="O443" s="19"/>
      <c r="P443" s="32"/>
      <c r="Q443" s="32"/>
      <c r="R443" s="32"/>
      <c r="S443" s="32"/>
      <c r="T443" s="32"/>
      <c r="U443" s="32"/>
      <c r="V443" s="32"/>
      <c r="W443" s="32"/>
      <c r="Z443" s="1229" t="s">
        <v>826</v>
      </c>
      <c r="AA443" s="1229"/>
    </row>
    <row r="444" spans="1:36" ht="12.95" customHeight="1"/>
    <row r="445" spans="1:36" ht="12.95" customHeight="1">
      <c r="A445" s="2" t="s">
        <v>1121</v>
      </c>
      <c r="B445" s="2"/>
      <c r="C445" s="2"/>
      <c r="D445" s="2" t="s">
        <v>159</v>
      </c>
      <c r="AF445" s="40"/>
    </row>
    <row r="446" spans="1:36" ht="12.95" customHeight="1">
      <c r="D446" s="1602" t="s">
        <v>1301</v>
      </c>
      <c r="E446" s="1603"/>
      <c r="F446" s="1603"/>
      <c r="G446" s="1603"/>
      <c r="H446" s="1603"/>
      <c r="I446" s="1603"/>
      <c r="J446" s="1603"/>
      <c r="K446" s="1603"/>
      <c r="L446" s="1603"/>
      <c r="M446" s="1603"/>
      <c r="N446" s="1603"/>
      <c r="O446" s="1603"/>
      <c r="P446" s="1603"/>
      <c r="Q446" s="1603"/>
      <c r="R446" s="1603"/>
      <c r="S446" s="1603"/>
      <c r="T446" s="1603"/>
      <c r="U446" s="1603"/>
      <c r="V446" s="1603"/>
      <c r="W446" s="1603"/>
      <c r="X446" s="1603"/>
      <c r="Y446" s="1603"/>
      <c r="Z446" s="1603"/>
      <c r="AA446" s="1603"/>
      <c r="AB446" s="1603"/>
      <c r="AC446" s="1603"/>
      <c r="AD446" s="1603"/>
      <c r="AE446" s="1603"/>
      <c r="AF446" s="1682"/>
      <c r="AG446" s="1648">
        <v>100</v>
      </c>
      <c r="AH446" s="1648"/>
      <c r="AI446" s="1648"/>
      <c r="AJ446" s="1648"/>
    </row>
    <row r="447" spans="1:36" ht="12.95" customHeight="1">
      <c r="D447" s="1413" t="s">
        <v>1302</v>
      </c>
      <c r="E447" s="1414"/>
      <c r="F447" s="1414"/>
      <c r="G447" s="1414"/>
      <c r="H447" s="1414"/>
      <c r="I447" s="1414"/>
      <c r="J447" s="1414"/>
      <c r="K447" s="1414"/>
      <c r="L447" s="1414"/>
      <c r="M447" s="1414"/>
      <c r="N447" s="1414"/>
      <c r="O447" s="1414"/>
      <c r="P447" s="1414"/>
      <c r="Q447" s="1414"/>
      <c r="R447" s="1414"/>
      <c r="S447" s="1414"/>
      <c r="T447" s="1414"/>
      <c r="U447" s="1414"/>
      <c r="V447" s="1414"/>
      <c r="W447" s="1414"/>
      <c r="X447" s="1414"/>
      <c r="Y447" s="1414"/>
      <c r="Z447" s="1414"/>
      <c r="AA447" s="1414"/>
      <c r="AB447" s="1414"/>
      <c r="AC447" s="1414"/>
      <c r="AD447" s="1414"/>
      <c r="AE447" s="1414"/>
      <c r="AF447" s="1415"/>
      <c r="AG447" s="1687">
        <v>0</v>
      </c>
      <c r="AH447" s="1339"/>
      <c r="AI447" s="1339"/>
      <c r="AJ447" s="1339"/>
    </row>
    <row r="448" spans="1:36" ht="12.95" customHeight="1">
      <c r="D448" s="1413" t="s">
        <v>1303</v>
      </c>
      <c r="E448" s="1414"/>
      <c r="F448" s="1414"/>
      <c r="G448" s="1414"/>
      <c r="H448" s="1414"/>
      <c r="I448" s="1414"/>
      <c r="J448" s="1414"/>
      <c r="K448" s="1414"/>
      <c r="L448" s="1414"/>
      <c r="M448" s="1414"/>
      <c r="N448" s="1414"/>
      <c r="O448" s="1414"/>
      <c r="P448" s="1414"/>
      <c r="Q448" s="1414"/>
      <c r="R448" s="1414"/>
      <c r="S448" s="1414"/>
      <c r="T448" s="1414"/>
      <c r="U448" s="1414"/>
      <c r="V448" s="1414"/>
      <c r="W448" s="1414"/>
      <c r="X448" s="1414"/>
      <c r="Y448" s="1414"/>
      <c r="Z448" s="1414"/>
      <c r="AA448" s="1414"/>
      <c r="AB448" s="1414"/>
      <c r="AC448" s="1414"/>
      <c r="AD448" s="1414"/>
      <c r="AE448" s="1414"/>
      <c r="AF448" s="1415"/>
      <c r="AG448" s="1648">
        <v>99</v>
      </c>
      <c r="AH448" s="1648"/>
      <c r="AI448" s="1648"/>
      <c r="AJ448" s="1648"/>
    </row>
    <row r="449" spans="4:55" ht="12.95" customHeight="1">
      <c r="D449" s="1413" t="s">
        <v>1304</v>
      </c>
      <c r="E449" s="1414"/>
      <c r="F449" s="1414"/>
      <c r="G449" s="1414"/>
      <c r="H449" s="1414"/>
      <c r="I449" s="1414"/>
      <c r="J449" s="1414"/>
      <c r="K449" s="1414"/>
      <c r="L449" s="1414"/>
      <c r="M449" s="1414"/>
      <c r="N449" s="1414"/>
      <c r="O449" s="1414"/>
      <c r="P449" s="1414"/>
      <c r="Q449" s="1414"/>
      <c r="R449" s="1414"/>
      <c r="S449" s="1414"/>
      <c r="T449" s="1414"/>
      <c r="U449" s="1414"/>
      <c r="V449" s="1414"/>
      <c r="W449" s="1414"/>
      <c r="X449" s="1414"/>
      <c r="Y449" s="1414"/>
      <c r="Z449" s="1414"/>
      <c r="AA449" s="1414"/>
      <c r="AB449" s="1414"/>
      <c r="AC449" s="1414"/>
      <c r="AD449" s="1414"/>
      <c r="AE449" s="1414"/>
      <c r="AF449" s="1415"/>
      <c r="AG449" s="1648">
        <v>99</v>
      </c>
      <c r="AH449" s="1648"/>
      <c r="AI449" s="1648"/>
      <c r="AJ449" s="1648"/>
    </row>
    <row r="450" spans="4:55" ht="12.95" customHeight="1">
      <c r="D450" s="1413" t="s">
        <v>1305</v>
      </c>
      <c r="E450" s="1414"/>
      <c r="F450" s="1414"/>
      <c r="G450" s="1414"/>
      <c r="H450" s="1414"/>
      <c r="I450" s="1414"/>
      <c r="J450" s="1414"/>
      <c r="K450" s="1414"/>
      <c r="L450" s="1414"/>
      <c r="M450" s="1414"/>
      <c r="N450" s="1414"/>
      <c r="O450" s="1414"/>
      <c r="P450" s="1414"/>
      <c r="Q450" s="1414"/>
      <c r="R450" s="1414"/>
      <c r="S450" s="1414"/>
      <c r="T450" s="1414"/>
      <c r="U450" s="1414"/>
      <c r="V450" s="1414"/>
      <c r="W450" s="1414"/>
      <c r="X450" s="1414"/>
      <c r="Y450" s="1414"/>
      <c r="Z450" s="1414"/>
      <c r="AA450" s="1414"/>
      <c r="AB450" s="1414"/>
      <c r="AC450" s="1414"/>
      <c r="AD450" s="1414"/>
      <c r="AE450" s="1414"/>
      <c r="AF450" s="1415"/>
      <c r="AG450" s="1683">
        <f>IF(ISERROR(AG449/AG448),0,AG449/AG448)</f>
        <v>1</v>
      </c>
      <c r="AH450" s="1683"/>
      <c r="AI450" s="1683"/>
      <c r="AJ450" s="1683"/>
    </row>
    <row r="451" spans="4:55" ht="12.95" customHeight="1">
      <c r="D451" s="1413" t="s">
        <v>1306</v>
      </c>
      <c r="E451" s="1414"/>
      <c r="F451" s="1414"/>
      <c r="G451" s="1414"/>
      <c r="H451" s="1414"/>
      <c r="I451" s="1414"/>
      <c r="J451" s="1414"/>
      <c r="K451" s="1414"/>
      <c r="L451" s="1414"/>
      <c r="M451" s="1414"/>
      <c r="N451" s="1414"/>
      <c r="O451" s="1414"/>
      <c r="P451" s="1414"/>
      <c r="Q451" s="1414"/>
      <c r="R451" s="1414"/>
      <c r="S451" s="1414"/>
      <c r="T451" s="1414"/>
      <c r="U451" s="1414"/>
      <c r="V451" s="1414"/>
      <c r="W451" s="1414"/>
      <c r="X451" s="1414"/>
      <c r="Y451" s="1414"/>
      <c r="Z451" s="1414"/>
      <c r="AA451" s="1414"/>
      <c r="AB451" s="1414"/>
      <c r="AC451" s="1414"/>
      <c r="AD451" s="1414"/>
      <c r="AE451" s="1414"/>
      <c r="AF451" s="1415"/>
      <c r="AG451" s="1576">
        <v>86730</v>
      </c>
      <c r="AH451" s="1576"/>
      <c r="AI451" s="1576"/>
      <c r="AJ451" s="1576"/>
    </row>
    <row r="452" spans="4:55" ht="12.95" customHeight="1">
      <c r="D452" s="1413" t="s">
        <v>1307</v>
      </c>
      <c r="E452" s="1414"/>
      <c r="F452" s="1414"/>
      <c r="G452" s="1414"/>
      <c r="H452" s="1414"/>
      <c r="I452" s="1414"/>
      <c r="J452" s="1414"/>
      <c r="K452" s="1414"/>
      <c r="L452" s="1414"/>
      <c r="M452" s="1414"/>
      <c r="N452" s="1414"/>
      <c r="O452" s="1414"/>
      <c r="P452" s="1414"/>
      <c r="Q452" s="1414"/>
      <c r="R452" s="1414"/>
      <c r="S452" s="1414"/>
      <c r="T452" s="1414"/>
      <c r="U452" s="1414"/>
      <c r="V452" s="1414"/>
      <c r="W452" s="1414"/>
      <c r="X452" s="1414"/>
      <c r="Y452" s="1414"/>
      <c r="Z452" s="1414"/>
      <c r="AA452" s="1414"/>
      <c r="AB452" s="1414"/>
      <c r="AC452" s="1414"/>
      <c r="AD452" s="1414"/>
      <c r="AE452" s="1414"/>
      <c r="AF452" s="1415"/>
      <c r="AG452" s="1576">
        <f>AG451</f>
        <v>86730</v>
      </c>
      <c r="AH452" s="1576"/>
      <c r="AI452" s="1576"/>
      <c r="AJ452" s="1576"/>
    </row>
    <row r="453" spans="4:55" ht="12.95" customHeight="1">
      <c r="D453" s="1413" t="s">
        <v>1308</v>
      </c>
      <c r="E453" s="1414"/>
      <c r="F453" s="1414"/>
      <c r="G453" s="1414"/>
      <c r="H453" s="1414"/>
      <c r="I453" s="1414"/>
      <c r="J453" s="1414"/>
      <c r="K453" s="1414"/>
      <c r="L453" s="1414"/>
      <c r="M453" s="1414"/>
      <c r="N453" s="1414"/>
      <c r="O453" s="1414"/>
      <c r="P453" s="1414"/>
      <c r="Q453" s="1414"/>
      <c r="R453" s="1414"/>
      <c r="S453" s="1414"/>
      <c r="T453" s="1414"/>
      <c r="U453" s="1414"/>
      <c r="V453" s="1414"/>
      <c r="W453" s="1414"/>
      <c r="X453" s="1414"/>
      <c r="Y453" s="1414"/>
      <c r="Z453" s="1414"/>
      <c r="AA453" s="1414"/>
      <c r="AB453" s="1414"/>
      <c r="AC453" s="1414"/>
      <c r="AD453" s="1414"/>
      <c r="AE453" s="1414"/>
      <c r="AF453" s="1415"/>
      <c r="AG453" s="1683">
        <f>IF(ISERROR(AG452/AG451),0,AG452/AG451)</f>
        <v>1</v>
      </c>
      <c r="AH453" s="1683"/>
      <c r="AI453" s="1683"/>
      <c r="AJ453" s="1683"/>
    </row>
    <row r="454" spans="4:55" ht="12.95" customHeight="1">
      <c r="D454" s="1413" t="s">
        <v>1309</v>
      </c>
      <c r="E454" s="1414"/>
      <c r="F454" s="1414"/>
      <c r="G454" s="1414"/>
      <c r="H454" s="1414"/>
      <c r="I454" s="1414"/>
      <c r="J454" s="1414"/>
      <c r="K454" s="1414"/>
      <c r="L454" s="1414"/>
      <c r="M454" s="1414"/>
      <c r="N454" s="1414"/>
      <c r="O454" s="1414"/>
      <c r="P454" s="1414"/>
      <c r="Q454" s="1414"/>
      <c r="R454" s="1414"/>
      <c r="S454" s="1414"/>
      <c r="T454" s="1414"/>
      <c r="U454" s="1414"/>
      <c r="V454" s="1414"/>
      <c r="W454" s="1414"/>
      <c r="X454" s="1414"/>
      <c r="Y454" s="1414"/>
      <c r="Z454" s="1414"/>
      <c r="AA454" s="1414"/>
      <c r="AB454" s="1414"/>
      <c r="AC454" s="1414"/>
      <c r="AD454" s="1414"/>
      <c r="AE454" s="1414"/>
      <c r="AF454" s="1415"/>
      <c r="AG454" s="1683">
        <f>MIN(IF(AG450&gt;AG453,AG453,AG450),1)</f>
        <v>1</v>
      </c>
      <c r="AH454" s="1683"/>
      <c r="AI454" s="1683"/>
      <c r="AJ454" s="1683"/>
    </row>
    <row r="455" spans="4:55" ht="12.95" customHeight="1">
      <c r="D455" s="1413" t="s">
        <v>1310</v>
      </c>
      <c r="E455" s="1603"/>
      <c r="F455" s="1603"/>
      <c r="G455" s="1603"/>
      <c r="H455" s="1603"/>
      <c r="I455" s="1603"/>
      <c r="J455" s="1603"/>
      <c r="K455" s="1603"/>
      <c r="L455" s="1603"/>
      <c r="M455" s="1603"/>
      <c r="N455" s="1603"/>
      <c r="O455" s="1603"/>
      <c r="P455" s="1603"/>
      <c r="Q455" s="1603"/>
      <c r="R455" s="1603"/>
      <c r="S455" s="1603"/>
      <c r="T455" s="1603"/>
      <c r="U455" s="1603"/>
      <c r="V455" s="1603"/>
      <c r="W455" s="1603"/>
      <c r="X455" s="1603"/>
      <c r="Y455" s="1603"/>
      <c r="Z455" s="1603"/>
      <c r="AA455" s="1603"/>
      <c r="AB455" s="1603"/>
      <c r="AC455" s="1603"/>
      <c r="AD455" s="1603"/>
      <c r="AE455" s="1603"/>
      <c r="AF455" s="1682"/>
      <c r="AG455" s="1576">
        <v>7223</v>
      </c>
      <c r="AH455" s="1576"/>
      <c r="AI455" s="1576"/>
      <c r="AJ455" s="1576"/>
      <c r="AZ455" s="3"/>
      <c r="BA455" s="3"/>
      <c r="BB455" s="3"/>
      <c r="BC455" s="3"/>
    </row>
    <row r="456" spans="4:55" ht="12.95" customHeight="1">
      <c r="D456" s="1602" t="s">
        <v>1311</v>
      </c>
      <c r="E456" s="1603"/>
      <c r="F456" s="1603"/>
      <c r="G456" s="1603"/>
      <c r="H456" s="1603"/>
      <c r="I456" s="1603"/>
      <c r="J456" s="1603"/>
      <c r="K456" s="1603"/>
      <c r="L456" s="1603"/>
      <c r="M456" s="1603"/>
      <c r="N456" s="1603"/>
      <c r="O456" s="1603"/>
      <c r="P456" s="1603"/>
      <c r="Q456" s="1603"/>
      <c r="R456" s="1603"/>
      <c r="S456" s="1603"/>
      <c r="T456" s="1603"/>
      <c r="U456" s="1603"/>
      <c r="V456" s="1603"/>
      <c r="W456" s="1603"/>
      <c r="X456" s="1603"/>
      <c r="Y456" s="1603"/>
      <c r="Z456" s="1603"/>
      <c r="AA456" s="1603"/>
      <c r="AB456" s="1603"/>
      <c r="AC456" s="1603"/>
      <c r="AD456" s="1603"/>
      <c r="AE456" s="1603"/>
      <c r="AF456" s="1682"/>
      <c r="AG456" s="1576">
        <v>0</v>
      </c>
      <c r="AH456" s="1576"/>
      <c r="AI456" s="1576"/>
      <c r="AJ456" s="1576"/>
      <c r="AZ456" s="3"/>
      <c r="BA456" s="3"/>
      <c r="BB456" s="3"/>
      <c r="BC456" s="3"/>
    </row>
    <row r="457" spans="4:55" ht="12.95" customHeight="1">
      <c r="D457" s="1413" t="s">
        <v>1312</v>
      </c>
      <c r="E457" s="1603"/>
      <c r="F457" s="1603"/>
      <c r="G457" s="1603"/>
      <c r="H457" s="1603"/>
      <c r="I457" s="1603"/>
      <c r="J457" s="1603"/>
      <c r="K457" s="1603"/>
      <c r="L457" s="1603"/>
      <c r="M457" s="1603"/>
      <c r="N457" s="1603"/>
      <c r="O457" s="1603"/>
      <c r="P457" s="1603"/>
      <c r="Q457" s="1603"/>
      <c r="R457" s="1603"/>
      <c r="S457" s="1603"/>
      <c r="T457" s="1603"/>
      <c r="U457" s="1603"/>
      <c r="V457" s="1603"/>
      <c r="W457" s="1603"/>
      <c r="X457" s="1603"/>
      <c r="Y457" s="1603"/>
      <c r="Z457" s="1603"/>
      <c r="AA457" s="1603"/>
      <c r="AB457" s="1603"/>
      <c r="AC457" s="1603"/>
      <c r="AD457" s="1603"/>
      <c r="AE457" s="1603"/>
      <c r="AF457" s="1682"/>
      <c r="AG457" s="1576">
        <v>18706</v>
      </c>
      <c r="AH457" s="1576"/>
      <c r="AI457" s="1576"/>
      <c r="AJ457" s="1576"/>
      <c r="AZ457" s="3"/>
      <c r="BA457" s="3"/>
      <c r="BB457" s="3"/>
      <c r="BC457" s="3"/>
    </row>
    <row r="458" spans="4:55" ht="12.95" customHeight="1">
      <c r="D458" s="1413" t="s">
        <v>1313</v>
      </c>
      <c r="E458" s="1603"/>
      <c r="F458" s="1603"/>
      <c r="G458" s="1603"/>
      <c r="H458" s="1603"/>
      <c r="I458" s="1603"/>
      <c r="J458" s="1603"/>
      <c r="K458" s="1603"/>
      <c r="L458" s="1603"/>
      <c r="M458" s="1603"/>
      <c r="N458" s="1603"/>
      <c r="O458" s="1603"/>
      <c r="P458" s="1603"/>
      <c r="Q458" s="1603"/>
      <c r="R458" s="1603"/>
      <c r="S458" s="1603"/>
      <c r="T458" s="1603"/>
      <c r="U458" s="1603"/>
      <c r="V458" s="1603"/>
      <c r="W458" s="1603"/>
      <c r="X458" s="1603"/>
      <c r="Y458" s="1603"/>
      <c r="Z458" s="1603"/>
      <c r="AA458" s="1603"/>
      <c r="AB458" s="1603"/>
      <c r="AC458" s="1603"/>
      <c r="AD458" s="1603"/>
      <c r="AE458" s="1603"/>
      <c r="AF458" s="1682"/>
      <c r="AG458" s="1576">
        <v>59681</v>
      </c>
      <c r="AH458" s="1576"/>
      <c r="AI458" s="1576"/>
      <c r="AJ458" s="1576"/>
      <c r="BB458" s="3"/>
      <c r="BC458" s="3"/>
    </row>
    <row r="459" spans="4:55" ht="12.95" customHeight="1">
      <c r="D459" s="1642" t="s">
        <v>1314</v>
      </c>
      <c r="E459" s="1643"/>
      <c r="F459" s="1643"/>
      <c r="G459" s="1643"/>
      <c r="H459" s="1643"/>
      <c r="I459" s="1643"/>
      <c r="J459" s="1643"/>
      <c r="K459" s="1643"/>
      <c r="L459" s="1643"/>
      <c r="M459" s="1643"/>
      <c r="N459" s="1643"/>
      <c r="O459" s="1643"/>
      <c r="P459" s="1643"/>
      <c r="Q459" s="1643"/>
      <c r="R459" s="1643"/>
      <c r="S459" s="1643"/>
      <c r="T459" s="1643"/>
      <c r="U459" s="1643"/>
      <c r="V459" s="1643"/>
      <c r="W459" s="1643"/>
      <c r="X459" s="1643"/>
      <c r="Y459" s="1643"/>
      <c r="Z459" s="1643"/>
      <c r="AA459" s="1643"/>
      <c r="AB459" s="1643"/>
      <c r="AC459" s="1643"/>
      <c r="AD459" s="1643"/>
      <c r="AE459" s="1643"/>
      <c r="AF459" s="1644"/>
      <c r="AG459" s="1719">
        <f>AG451+AG455+AG457+AG458</f>
        <v>172340</v>
      </c>
      <c r="AH459" s="1719"/>
      <c r="AI459" s="1719"/>
      <c r="AJ459" s="1719"/>
      <c r="AZ459" s="3"/>
      <c r="BA459" s="3"/>
      <c r="BB459" s="3"/>
      <c r="BC459" s="3"/>
    </row>
    <row r="460" spans="4:55" ht="12.95" customHeight="1">
      <c r="D460" s="1622" t="s">
        <v>1315</v>
      </c>
      <c r="E460" s="1622"/>
      <c r="F460" s="1622"/>
      <c r="G460" s="1622"/>
      <c r="H460" s="1622"/>
      <c r="I460" s="1622"/>
      <c r="J460" s="1622"/>
      <c r="K460" s="1622"/>
      <c r="L460" s="1622"/>
      <c r="M460" s="1622"/>
      <c r="N460" s="1622"/>
      <c r="O460" s="1622"/>
      <c r="P460" s="1622"/>
      <c r="Q460" s="1622"/>
      <c r="R460" s="1622"/>
      <c r="S460" s="1622"/>
      <c r="T460" s="1622"/>
      <c r="U460" s="1622"/>
      <c r="V460" s="1622"/>
      <c r="W460" s="1622"/>
      <c r="X460" s="1622"/>
      <c r="Y460" s="1622"/>
      <c r="Z460" s="1622"/>
      <c r="AA460" s="1622"/>
      <c r="AB460" s="1622"/>
      <c r="AC460" s="1622"/>
      <c r="AD460" s="1622"/>
      <c r="AE460" s="1622"/>
      <c r="AF460" s="1622"/>
      <c r="AG460" s="1622"/>
      <c r="AH460" s="1622"/>
      <c r="AI460" s="1622"/>
      <c r="AJ460" s="1622"/>
      <c r="AZ460" s="3"/>
      <c r="BA460" s="3"/>
      <c r="BB460" s="3"/>
      <c r="BC460" s="3"/>
    </row>
    <row r="461" spans="4:55" ht="12.95" customHeight="1">
      <c r="D461" s="1623"/>
      <c r="E461" s="1623"/>
      <c r="F461" s="1623"/>
      <c r="G461" s="1623"/>
      <c r="H461" s="1623"/>
      <c r="I461" s="1623"/>
      <c r="J461" s="1623"/>
      <c r="K461" s="1623"/>
      <c r="L461" s="1623"/>
      <c r="M461" s="1623"/>
      <c r="N461" s="1623"/>
      <c r="O461" s="1623"/>
      <c r="P461" s="1623"/>
      <c r="Q461" s="1623"/>
      <c r="R461" s="1623"/>
      <c r="S461" s="1623"/>
      <c r="T461" s="1623"/>
      <c r="U461" s="1623"/>
      <c r="V461" s="1623"/>
      <c r="W461" s="1623"/>
      <c r="X461" s="1623"/>
      <c r="Y461" s="1623"/>
      <c r="Z461" s="1623"/>
      <c r="AA461" s="1623"/>
      <c r="AB461" s="1623"/>
      <c r="AC461" s="1623"/>
      <c r="AD461" s="1623"/>
      <c r="AE461" s="1623"/>
      <c r="AF461" s="1623"/>
      <c r="AG461" s="1623"/>
      <c r="AH461" s="1623"/>
      <c r="AI461" s="1623"/>
      <c r="AJ461" s="1623"/>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1316</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30">
        <f>IF(AG446=0,"",'Sources and Uses Budget'!B105/Application!AG446)</f>
        <v>821766.24</v>
      </c>
      <c r="AD463" s="1630"/>
      <c r="AE463" s="1630"/>
      <c r="AF463" s="1630"/>
      <c r="AG463" s="415"/>
      <c r="AH463" s="415"/>
      <c r="AI463" s="415"/>
      <c r="AJ463" s="860"/>
      <c r="AZ463" s="3"/>
      <c r="BA463" s="3" t="str">
        <f>AG583</f>
        <v>Yes</v>
      </c>
      <c r="BB463" s="3"/>
      <c r="BC463" s="3"/>
    </row>
    <row r="464" spans="4:55" ht="12.95" customHeight="1">
      <c r="D464" s="137" t="s">
        <v>1317</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30">
        <f>IF(AG446=0,"",'Sources and Uses Budget'!C105/Application!AG446)</f>
        <v>821766.24</v>
      </c>
      <c r="AD464" s="1630"/>
      <c r="AE464" s="1630"/>
      <c r="AF464" s="1630"/>
      <c r="AG464" s="415"/>
      <c r="AH464" s="415"/>
      <c r="AI464" s="415"/>
      <c r="AJ464" s="860"/>
      <c r="AZ464" s="3"/>
      <c r="BA464" s="3"/>
      <c r="BB464" s="3"/>
      <c r="BC464" s="3"/>
    </row>
    <row r="465" spans="1:55" ht="12.95" customHeight="1">
      <c r="D465" s="137" t="s">
        <v>1318</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30">
        <f>IF(AG446=0,"",('Sources and Uses Budget'!$S$107+'Sources and Uses Budget'!$T$107)/Application!AG446)</f>
        <v>750383.01</v>
      </c>
      <c r="AD465" s="1630"/>
      <c r="AE465" s="1630"/>
      <c r="AF465" s="1630"/>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1319</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1320</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1321</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1322</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1323</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45" t="s">
        <v>1324</v>
      </c>
      <c r="E473" s="1646"/>
      <c r="F473" s="1646"/>
      <c r="G473" s="1646"/>
      <c r="H473" s="1646"/>
      <c r="I473" s="1646"/>
      <c r="J473" s="1646"/>
      <c r="K473" s="1646"/>
      <c r="L473" s="1646"/>
      <c r="M473" s="1646"/>
      <c r="N473" s="1646"/>
      <c r="O473" s="1646"/>
      <c r="P473" s="1646"/>
      <c r="Q473" s="1646"/>
      <c r="R473" s="1646"/>
      <c r="S473" s="1646"/>
      <c r="T473" s="1646"/>
      <c r="U473" s="1646"/>
      <c r="V473" s="1647"/>
      <c r="W473" s="1416">
        <v>0</v>
      </c>
      <c r="X473" s="1417"/>
      <c r="Y473" s="1418"/>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45" t="s">
        <v>1325</v>
      </c>
      <c r="E474" s="1646"/>
      <c r="F474" s="1646"/>
      <c r="G474" s="1646"/>
      <c r="H474" s="1646"/>
      <c r="I474" s="1646"/>
      <c r="J474" s="1646"/>
      <c r="K474" s="1646"/>
      <c r="L474" s="1646"/>
      <c r="M474" s="1646"/>
      <c r="N474" s="1646"/>
      <c r="O474" s="1646"/>
      <c r="P474" s="1646"/>
      <c r="Q474" s="1646"/>
      <c r="R474" s="1646"/>
      <c r="S474" s="1646"/>
      <c r="T474" s="1646"/>
      <c r="U474" s="1646"/>
      <c r="V474" s="1647"/>
      <c r="W474" s="1416">
        <v>0</v>
      </c>
      <c r="X474" s="1417"/>
      <c r="Y474" s="1418"/>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45" t="s">
        <v>1326</v>
      </c>
      <c r="E475" s="1646"/>
      <c r="F475" s="1646"/>
      <c r="G475" s="1646"/>
      <c r="H475" s="1646"/>
      <c r="I475" s="1646"/>
      <c r="J475" s="1646"/>
      <c r="K475" s="1646"/>
      <c r="L475" s="1646"/>
      <c r="M475" s="1646"/>
      <c r="N475" s="1646"/>
      <c r="O475" s="1646"/>
      <c r="P475" s="1646"/>
      <c r="Q475" s="1646"/>
      <c r="R475" s="1646"/>
      <c r="S475" s="1646"/>
      <c r="T475" s="1646"/>
      <c r="U475" s="1646"/>
      <c r="V475" s="1647"/>
      <c r="W475" s="1416">
        <v>0</v>
      </c>
      <c r="X475" s="1417"/>
      <c r="Y475" s="1418"/>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45" t="s">
        <v>1327</v>
      </c>
      <c r="E476" s="1646"/>
      <c r="F476" s="1646"/>
      <c r="G476" s="1646"/>
      <c r="H476" s="1646"/>
      <c r="I476" s="1646"/>
      <c r="J476" s="1646"/>
      <c r="K476" s="1646"/>
      <c r="L476" s="1646"/>
      <c r="M476" s="1646"/>
      <c r="N476" s="1646"/>
      <c r="O476" s="1646"/>
      <c r="P476" s="1646"/>
      <c r="Q476" s="1646"/>
      <c r="R476" s="1646"/>
      <c r="S476" s="1646"/>
      <c r="T476" s="1646"/>
      <c r="U476" s="1646"/>
      <c r="V476" s="1647"/>
      <c r="W476" s="1416">
        <v>0</v>
      </c>
      <c r="X476" s="1417"/>
      <c r="Y476" s="1418"/>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45" t="s">
        <v>1328</v>
      </c>
      <c r="E477" s="1646"/>
      <c r="F477" s="1646"/>
      <c r="G477" s="1646"/>
      <c r="H477" s="1646"/>
      <c r="I477" s="1646"/>
      <c r="J477" s="1646"/>
      <c r="K477" s="1646"/>
      <c r="L477" s="1646"/>
      <c r="M477" s="1646"/>
      <c r="N477" s="1646"/>
      <c r="O477" s="1646"/>
      <c r="P477" s="1646"/>
      <c r="Q477" s="1646"/>
      <c r="R477" s="1646"/>
      <c r="S477" s="1646"/>
      <c r="T477" s="1646"/>
      <c r="U477" s="1646"/>
      <c r="V477" s="1647"/>
      <c r="W477" s="1416">
        <v>0</v>
      </c>
      <c r="X477" s="1417"/>
      <c r="Y477" s="1418"/>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45" t="s">
        <v>1329</v>
      </c>
      <c r="E478" s="1646"/>
      <c r="F478" s="1646"/>
      <c r="G478" s="1646"/>
      <c r="H478" s="1646"/>
      <c r="I478" s="1646"/>
      <c r="J478" s="1646"/>
      <c r="K478" s="1646"/>
      <c r="L478" s="1646"/>
      <c r="M478" s="1646"/>
      <c r="N478" s="1646"/>
      <c r="O478" s="1646"/>
      <c r="P478" s="1646"/>
      <c r="Q478" s="1646"/>
      <c r="R478" s="1646"/>
      <c r="S478" s="1646"/>
      <c r="T478" s="1646"/>
      <c r="U478" s="1646"/>
      <c r="V478" s="1647"/>
      <c r="W478" s="1416">
        <v>46</v>
      </c>
      <c r="X478" s="1417"/>
      <c r="Y478" s="1418"/>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645" t="s">
        <v>1330</v>
      </c>
      <c r="E479" s="1646"/>
      <c r="F479" s="1646"/>
      <c r="G479" s="1646"/>
      <c r="H479" s="1646"/>
      <c r="I479" s="1646"/>
      <c r="J479" s="1646"/>
      <c r="K479" s="1646"/>
      <c r="L479" s="1646"/>
      <c r="M479" s="1646"/>
      <c r="N479" s="1646"/>
      <c r="O479" s="1646"/>
      <c r="P479" s="1646"/>
      <c r="Q479" s="1646"/>
      <c r="R479" s="1646"/>
      <c r="S479" s="1646"/>
      <c r="T479" s="1646"/>
      <c r="U479" s="1646"/>
      <c r="V479" s="1647"/>
      <c r="W479" s="1416">
        <v>0</v>
      </c>
      <c r="X479" s="1417"/>
      <c r="Y479" s="1418"/>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45" t="s">
        <v>1331</v>
      </c>
      <c r="E480" s="1646"/>
      <c r="F480" s="1646"/>
      <c r="G480" s="1646"/>
      <c r="H480" s="1646"/>
      <c r="I480" s="1646"/>
      <c r="J480" s="1646"/>
      <c r="K480" s="1646"/>
      <c r="L480" s="1646"/>
      <c r="M480" s="1646"/>
      <c r="N480" s="1646"/>
      <c r="O480" s="1646"/>
      <c r="P480" s="1646"/>
      <c r="Q480" s="1646"/>
      <c r="R480" s="1646"/>
      <c r="S480" s="1646"/>
      <c r="T480" s="1646"/>
      <c r="U480" s="1646"/>
      <c r="V480" s="1647"/>
      <c r="W480" s="1416">
        <v>35</v>
      </c>
      <c r="X480" s="1417"/>
      <c r="Y480" s="1418"/>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45" t="s">
        <v>1332</v>
      </c>
      <c r="E481" s="1646"/>
      <c r="F481" s="1646"/>
      <c r="G481" s="1646"/>
      <c r="H481" s="1646"/>
      <c r="I481" s="1646"/>
      <c r="J481" s="1646"/>
      <c r="K481" s="1646"/>
      <c r="L481" s="1646"/>
      <c r="M481" s="1646"/>
      <c r="N481" s="1646"/>
      <c r="O481" s="1646"/>
      <c r="P481" s="1646"/>
      <c r="Q481" s="1646"/>
      <c r="R481" s="1646"/>
      <c r="S481" s="1646"/>
      <c r="T481" s="1646"/>
      <c r="U481" s="1646"/>
      <c r="V481" s="1647"/>
      <c r="W481" s="1416">
        <v>0</v>
      </c>
      <c r="X481" s="1417"/>
      <c r="Y481" s="1418"/>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9" t="s">
        <v>233</v>
      </c>
      <c r="E482" s="1170"/>
      <c r="F482" s="1171"/>
      <c r="G482" s="1378"/>
      <c r="H482" s="1379"/>
      <c r="I482" s="1379"/>
      <c r="J482" s="1379"/>
      <c r="K482" s="1379"/>
      <c r="L482" s="1379"/>
      <c r="M482" s="1379"/>
      <c r="N482" s="1379"/>
      <c r="O482" s="1379"/>
      <c r="P482" s="1379"/>
      <c r="Q482" s="1379"/>
      <c r="R482" s="1379"/>
      <c r="S482" s="1379"/>
      <c r="T482" s="1379"/>
      <c r="U482" s="1379"/>
      <c r="V482" s="1380"/>
      <c r="W482" s="1416">
        <v>18</v>
      </c>
      <c r="X482" s="1417"/>
      <c r="Y482" s="1418"/>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2" t="s">
        <v>1333</v>
      </c>
      <c r="E483" s="1173"/>
      <c r="F483" s="1173"/>
      <c r="G483" s="127"/>
      <c r="H483" s="127"/>
      <c r="I483" s="127"/>
      <c r="J483" s="127"/>
      <c r="K483" s="127"/>
      <c r="L483" s="127"/>
      <c r="M483" s="127"/>
      <c r="N483" s="127"/>
      <c r="O483" s="127"/>
      <c r="P483" s="127"/>
      <c r="Q483" s="127"/>
      <c r="R483" s="127"/>
      <c r="S483" s="127"/>
      <c r="T483" s="127"/>
      <c r="U483" s="127"/>
      <c r="V483" s="127"/>
      <c r="W483" s="1174"/>
      <c r="X483" s="1174"/>
      <c r="Y483" s="1175"/>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6"/>
      <c r="X484" s="1176"/>
      <c r="Y484" s="1177"/>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6"/>
      <c r="X485" s="1176"/>
      <c r="Y485" s="1177"/>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6"/>
      <c r="X486" s="1176"/>
      <c r="Y486" s="1177"/>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19" t="s">
        <v>1334</v>
      </c>
      <c r="B488" s="1419"/>
      <c r="C488" s="1419"/>
      <c r="D488" s="1419"/>
      <c r="E488" s="1419"/>
      <c r="F488" s="1419"/>
      <c r="G488" s="1419"/>
      <c r="H488" s="1419"/>
      <c r="I488" s="1419"/>
      <c r="J488" s="1419"/>
      <c r="K488" s="1419"/>
      <c r="L488" s="1419"/>
      <c r="M488" s="1419"/>
      <c r="N488" s="1419"/>
      <c r="O488" s="1419"/>
      <c r="P488" s="1419"/>
      <c r="Q488" s="1419"/>
      <c r="R488" s="1419"/>
      <c r="S488" s="1419"/>
      <c r="T488" s="1419"/>
      <c r="U488" s="1419"/>
      <c r="V488" s="1419"/>
      <c r="W488" s="1419"/>
      <c r="X488" s="1419"/>
      <c r="Y488" s="1419"/>
      <c r="Z488" s="1419"/>
      <c r="AA488" s="1419"/>
      <c r="AB488" s="1419"/>
      <c r="AC488" s="1419"/>
      <c r="AD488" s="1419"/>
      <c r="AE488" s="1419"/>
      <c r="AF488" s="1419"/>
      <c r="AG488" s="1419"/>
      <c r="AH488" s="1419"/>
      <c r="AI488" s="1419"/>
      <c r="AJ488" s="1419"/>
      <c r="AK488" s="1419"/>
      <c r="AL488" s="1419"/>
      <c r="AM488" s="1419"/>
      <c r="AN488" s="1419"/>
      <c r="AO488" s="1419"/>
      <c r="AP488" s="1419"/>
      <c r="AQ488" s="1419"/>
      <c r="AR488" s="1419"/>
      <c r="AS488" s="1419"/>
      <c r="AT488" s="1419"/>
      <c r="AU488" s="70"/>
      <c r="AV488" s="70"/>
      <c r="AW488" s="70"/>
      <c r="AX488" s="70"/>
      <c r="AY488" s="70"/>
      <c r="AZ488" s="3"/>
      <c r="BB488" s="3"/>
      <c r="BC488" s="3"/>
    </row>
    <row r="489" spans="1:55" ht="12.95" customHeight="1">
      <c r="A489" s="1419"/>
      <c r="B489" s="1419"/>
      <c r="C489" s="1419"/>
      <c r="D489" s="1419"/>
      <c r="E489" s="1419"/>
      <c r="F489" s="1419"/>
      <c r="G489" s="1419"/>
      <c r="H489" s="1419"/>
      <c r="I489" s="1419"/>
      <c r="J489" s="1419"/>
      <c r="K489" s="1419"/>
      <c r="L489" s="1419"/>
      <c r="M489" s="1419"/>
      <c r="N489" s="1419"/>
      <c r="O489" s="1419"/>
      <c r="P489" s="1419"/>
      <c r="Q489" s="1419"/>
      <c r="R489" s="1419"/>
      <c r="S489" s="1419"/>
      <c r="T489" s="1419"/>
      <c r="U489" s="1419"/>
      <c r="V489" s="1419"/>
      <c r="W489" s="1419"/>
      <c r="X489" s="1419"/>
      <c r="Y489" s="1419"/>
      <c r="Z489" s="1419"/>
      <c r="AA489" s="1419"/>
      <c r="AB489" s="1419"/>
      <c r="AC489" s="1419"/>
      <c r="AD489" s="1419"/>
      <c r="AE489" s="1419"/>
      <c r="AF489" s="1419"/>
      <c r="AG489" s="1419"/>
      <c r="AH489" s="1419"/>
      <c r="AI489" s="1419"/>
      <c r="AJ489" s="1419"/>
      <c r="AK489" s="1419"/>
      <c r="AL489" s="1419"/>
      <c r="AM489" s="1419"/>
      <c r="AN489" s="1419"/>
      <c r="AO489" s="1419"/>
      <c r="AP489" s="1419"/>
      <c r="AQ489" s="1419"/>
      <c r="AR489" s="1419"/>
      <c r="AS489" s="1419"/>
      <c r="AT489" s="1419"/>
      <c r="AZ489" s="3"/>
      <c r="BB489" s="3"/>
      <c r="BC489" s="3"/>
    </row>
    <row r="490" spans="1:55" ht="12.95" customHeight="1">
      <c r="AZ490" s="3"/>
      <c r="BB490" s="3"/>
      <c r="BC490" s="3"/>
    </row>
    <row r="491" spans="1:55" ht="12.95" customHeight="1">
      <c r="A491" s="2" t="s">
        <v>887</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639" t="s">
        <v>1335</v>
      </c>
      <c r="R493" s="1640"/>
      <c r="S493" s="1640"/>
      <c r="T493" s="1640"/>
      <c r="U493" s="1640"/>
      <c r="V493" s="1640"/>
      <c r="W493" s="1640"/>
      <c r="X493" s="1640"/>
      <c r="Y493" s="1640"/>
      <c r="Z493" s="1640"/>
      <c r="AA493" s="1640"/>
      <c r="AB493" s="1640"/>
      <c r="AC493" s="1640"/>
      <c r="AD493" s="1640"/>
      <c r="AE493" s="1640"/>
      <c r="AF493" s="1640"/>
      <c r="AG493" s="1640"/>
      <c r="AH493" s="1640"/>
      <c r="AI493" s="1640"/>
      <c r="AJ493" s="1640"/>
      <c r="AK493" s="1641"/>
      <c r="AZ493" s="3"/>
      <c r="BB493" s="3"/>
      <c r="BC493" s="3"/>
    </row>
    <row r="494" spans="1:55" ht="12.95" customHeight="1">
      <c r="B494" s="37" t="s">
        <v>1336</v>
      </c>
      <c r="C494" s="5"/>
      <c r="D494" s="5"/>
      <c r="E494" s="5"/>
      <c r="F494" s="5"/>
      <c r="G494" s="5"/>
      <c r="H494" s="5"/>
      <c r="I494" s="5"/>
      <c r="J494" s="5"/>
      <c r="K494" s="5"/>
      <c r="L494" s="5"/>
      <c r="M494" s="5"/>
      <c r="N494" s="5"/>
      <c r="O494" s="5"/>
      <c r="P494" s="5"/>
      <c r="Q494" s="1456" t="s">
        <v>1337</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457"/>
      <c r="AZ494" s="3"/>
      <c r="BB494" s="3"/>
      <c r="BC494" s="3"/>
    </row>
    <row r="495" spans="1:55" ht="12.95" customHeight="1">
      <c r="B495" s="37" t="s">
        <v>1338</v>
      </c>
      <c r="C495" s="5"/>
      <c r="D495" s="5"/>
      <c r="E495" s="5"/>
      <c r="F495" s="5"/>
      <c r="G495" s="5"/>
      <c r="H495" s="5"/>
      <c r="I495" s="5"/>
      <c r="J495" s="5"/>
      <c r="K495" s="5"/>
      <c r="L495" s="5"/>
      <c r="M495" s="5"/>
      <c r="N495" s="5"/>
      <c r="O495" s="5"/>
      <c r="P495" s="5"/>
      <c r="Q495" s="1456" t="s">
        <v>1339</v>
      </c>
      <c r="R495" s="1350"/>
      <c r="S495" s="1350"/>
      <c r="T495" s="1350"/>
      <c r="U495" s="1350"/>
      <c r="V495" s="1350"/>
      <c r="W495" s="1350"/>
      <c r="X495" s="1350"/>
      <c r="Y495" s="1350"/>
      <c r="Z495" s="1350"/>
      <c r="AA495" s="1350"/>
      <c r="AB495" s="1350"/>
      <c r="AC495" s="1350"/>
      <c r="AD495" s="1350"/>
      <c r="AE495" s="1350"/>
      <c r="AF495" s="1350"/>
      <c r="AG495" s="1350"/>
      <c r="AH495" s="1350"/>
      <c r="AI495" s="1350"/>
      <c r="AJ495" s="1350"/>
      <c r="AK495" s="1457"/>
      <c r="AZ495" s="3"/>
      <c r="BB495" s="3"/>
      <c r="BC495" s="3"/>
    </row>
    <row r="496" spans="1:55" ht="12.95" customHeight="1">
      <c r="B496" s="37" t="s">
        <v>1340</v>
      </c>
      <c r="C496" s="5"/>
      <c r="D496" s="5"/>
      <c r="E496" s="5"/>
      <c r="F496" s="5"/>
      <c r="G496" s="5"/>
      <c r="H496" s="5"/>
      <c r="I496" s="5"/>
      <c r="J496" s="5"/>
      <c r="K496" s="5"/>
      <c r="L496" s="5"/>
      <c r="M496" s="5"/>
      <c r="N496" s="5"/>
      <c r="O496" s="5"/>
      <c r="P496" s="5"/>
      <c r="Q496" s="1456" t="s">
        <v>1339</v>
      </c>
      <c r="R496" s="1350"/>
      <c r="S496" s="1350"/>
      <c r="T496" s="1350"/>
      <c r="U496" s="1350"/>
      <c r="V496" s="1350"/>
      <c r="W496" s="1350"/>
      <c r="X496" s="1350"/>
      <c r="Y496" s="1350"/>
      <c r="Z496" s="1350"/>
      <c r="AA496" s="1350"/>
      <c r="AB496" s="1350"/>
      <c r="AC496" s="1350"/>
      <c r="AD496" s="1350"/>
      <c r="AE496" s="1350"/>
      <c r="AF496" s="1350"/>
      <c r="AG496" s="1350"/>
      <c r="AH496" s="1350"/>
      <c r="AI496" s="1350"/>
      <c r="AJ496" s="1350"/>
      <c r="AK496" s="1457"/>
      <c r="AZ496" s="3"/>
      <c r="BA496" s="3"/>
      <c r="BB496" s="3"/>
      <c r="BC496" s="3"/>
    </row>
    <row r="497" spans="1:66" ht="12.95" customHeight="1">
      <c r="B497" s="1704" t="s">
        <v>1341</v>
      </c>
      <c r="C497" s="1705"/>
      <c r="D497" s="1705"/>
      <c r="E497" s="1705"/>
      <c r="F497" s="1705"/>
      <c r="G497" s="1705"/>
      <c r="H497" s="1705"/>
      <c r="I497" s="1705"/>
      <c r="J497" s="1705"/>
      <c r="K497" s="1705"/>
      <c r="L497" s="1705"/>
      <c r="M497" s="1705"/>
      <c r="N497" s="1705"/>
      <c r="O497" s="1705"/>
      <c r="P497" s="1706"/>
      <c r="Q497" s="1710" t="s">
        <v>701</v>
      </c>
      <c r="R497" s="1711"/>
      <c r="S497" s="1624" t="s">
        <v>1342</v>
      </c>
      <c r="T497" s="1625"/>
      <c r="U497" s="1625"/>
      <c r="V497" s="1625"/>
      <c r="W497" s="1625"/>
      <c r="X497" s="1625"/>
      <c r="Y497" s="1625"/>
      <c r="Z497" s="1625"/>
      <c r="AA497" s="1625"/>
      <c r="AB497" s="1625"/>
      <c r="AC497" s="1625"/>
      <c r="AD497" s="1625"/>
      <c r="AE497" s="1625"/>
      <c r="AF497" s="1625"/>
      <c r="AG497" s="1625"/>
      <c r="AH497" s="1625"/>
      <c r="AI497" s="1625"/>
      <c r="AJ497" s="1625"/>
      <c r="AK497" s="1626"/>
      <c r="AZ497" s="3"/>
      <c r="BA497" s="3"/>
      <c r="BB497" s="3"/>
      <c r="BC497" s="3"/>
    </row>
    <row r="498" spans="1:66" ht="12.95" customHeight="1">
      <c r="B498" s="1707"/>
      <c r="C498" s="1708"/>
      <c r="D498" s="1708"/>
      <c r="E498" s="1708"/>
      <c r="F498" s="1708"/>
      <c r="G498" s="1708"/>
      <c r="H498" s="1708"/>
      <c r="I498" s="1708"/>
      <c r="J498" s="1708"/>
      <c r="K498" s="1708"/>
      <c r="L498" s="1708"/>
      <c r="M498" s="1708"/>
      <c r="N498" s="1708"/>
      <c r="O498" s="1708"/>
      <c r="P498" s="1709"/>
      <c r="Q498" s="1712"/>
      <c r="R498" s="1713"/>
      <c r="S498" s="1627"/>
      <c r="T498" s="1628"/>
      <c r="U498" s="1628"/>
      <c r="V498" s="1628"/>
      <c r="W498" s="1628"/>
      <c r="X498" s="1628"/>
      <c r="Y498" s="1628"/>
      <c r="Z498" s="1628"/>
      <c r="AA498" s="1628"/>
      <c r="AB498" s="1628"/>
      <c r="AC498" s="1628"/>
      <c r="AD498" s="1628"/>
      <c r="AE498" s="1628"/>
      <c r="AF498" s="1628"/>
      <c r="AG498" s="1628"/>
      <c r="AH498" s="1628"/>
      <c r="AI498" s="1628"/>
      <c r="AJ498" s="1628"/>
      <c r="AK498" s="1629"/>
      <c r="AZ498" s="3"/>
      <c r="BA498" s="3"/>
      <c r="BB498" s="3"/>
      <c r="BC498" s="3"/>
    </row>
    <row r="499" spans="1:66" ht="12.95" customHeight="1">
      <c r="B499" s="787" t="s">
        <v>1343</v>
      </c>
      <c r="C499" s="768"/>
      <c r="D499" s="768"/>
      <c r="E499" s="768"/>
      <c r="F499" s="768"/>
      <c r="G499" s="768"/>
      <c r="H499" s="768"/>
      <c r="I499" s="768"/>
      <c r="J499" s="768"/>
      <c r="K499" s="768"/>
      <c r="L499" s="768"/>
      <c r="M499" s="768"/>
      <c r="N499" s="768"/>
      <c r="O499" s="768"/>
      <c r="P499" s="768"/>
      <c r="Q499" s="1715"/>
      <c r="R499" s="1716"/>
      <c r="S499" s="1716"/>
      <c r="T499" s="1716"/>
      <c r="U499" s="1716"/>
      <c r="V499" s="1716"/>
      <c r="W499" s="1716"/>
      <c r="X499" s="1716"/>
      <c r="Y499" s="1716"/>
      <c r="Z499" s="1716"/>
      <c r="AA499" s="1716"/>
      <c r="AB499" s="1716"/>
      <c r="AC499" s="1716"/>
      <c r="AD499" s="1716"/>
      <c r="AE499" s="1716"/>
      <c r="AF499" s="1716"/>
      <c r="AG499" s="1716"/>
      <c r="AH499" s="1716"/>
      <c r="AI499" s="1716"/>
      <c r="AJ499" s="1716"/>
      <c r="AK499" s="1717"/>
      <c r="AZ499" s="3"/>
      <c r="BA499" s="3"/>
      <c r="BB499" s="3"/>
      <c r="BC499" s="3"/>
    </row>
    <row r="500" spans="1:66" ht="12.95" customHeight="1">
      <c r="B500" s="37" t="s">
        <v>1344</v>
      </c>
      <c r="C500" s="5"/>
      <c r="D500" s="5"/>
      <c r="E500" s="5"/>
      <c r="F500" s="5"/>
      <c r="G500" s="5"/>
      <c r="H500" s="5"/>
      <c r="I500" s="5"/>
      <c r="J500" s="5"/>
      <c r="K500" s="5"/>
      <c r="L500" s="5"/>
      <c r="M500" s="5"/>
      <c r="N500" s="5"/>
      <c r="O500" s="5"/>
      <c r="P500" s="5"/>
      <c r="Q500" s="1456" t="s">
        <v>1345</v>
      </c>
      <c r="R500" s="1350"/>
      <c r="S500" s="1350"/>
      <c r="T500" s="1350"/>
      <c r="U500" s="1350"/>
      <c r="V500" s="1350"/>
      <c r="W500" s="1350"/>
      <c r="X500" s="1350"/>
      <c r="Y500" s="1350"/>
      <c r="Z500" s="1350"/>
      <c r="AA500" s="1350"/>
      <c r="AB500" s="1350"/>
      <c r="AC500" s="1350"/>
      <c r="AD500" s="1350"/>
      <c r="AE500" s="1350"/>
      <c r="AF500" s="1350"/>
      <c r="AG500" s="1350"/>
      <c r="AH500" s="1350"/>
      <c r="AI500" s="1350"/>
      <c r="AJ500" s="1350"/>
      <c r="AK500" s="1457"/>
      <c r="AZ500" s="3"/>
      <c r="BA500" s="3"/>
      <c r="BB500" s="3"/>
      <c r="BC500" s="3"/>
    </row>
    <row r="501" spans="1:66" ht="12.95" customHeight="1">
      <c r="B501" s="37" t="s">
        <v>1346</v>
      </c>
      <c r="C501" s="5"/>
      <c r="D501" s="5"/>
      <c r="E501" s="5"/>
      <c r="F501" s="5"/>
      <c r="G501" s="5"/>
      <c r="H501" s="5"/>
      <c r="I501" s="5"/>
      <c r="J501" s="5"/>
      <c r="K501" s="5"/>
      <c r="L501" s="5"/>
      <c r="M501" s="5"/>
      <c r="N501" s="5"/>
      <c r="O501" s="5"/>
      <c r="P501" s="5"/>
      <c r="Q501" s="1456">
        <v>1.5</v>
      </c>
      <c r="R501" s="1350"/>
      <c r="S501" s="1350"/>
      <c r="T501" s="1350"/>
      <c r="U501" s="1350"/>
      <c r="V501" s="1350"/>
      <c r="W501" s="1350"/>
      <c r="X501" s="1350"/>
      <c r="Y501" s="1350"/>
      <c r="Z501" s="1350"/>
      <c r="AA501" s="1350"/>
      <c r="AB501" s="1350"/>
      <c r="AC501" s="1350"/>
      <c r="AD501" s="1350"/>
      <c r="AE501" s="1350"/>
      <c r="AF501" s="1350"/>
      <c r="AG501" s="1350"/>
      <c r="AH501" s="1350"/>
      <c r="AI501" s="1350"/>
      <c r="AJ501" s="1350"/>
      <c r="AK501" s="1457"/>
      <c r="AZ501" s="3"/>
      <c r="BA501" s="3"/>
      <c r="BB501" s="3"/>
      <c r="BC501" s="3"/>
    </row>
    <row r="502" spans="1:66" ht="12.95" customHeight="1">
      <c r="B502" s="87" t="s">
        <v>1347</v>
      </c>
      <c r="C502" s="5"/>
      <c r="D502" s="5"/>
      <c r="E502" s="5"/>
      <c r="F502" s="5"/>
      <c r="G502" s="5"/>
      <c r="H502" s="5"/>
      <c r="I502" s="5"/>
      <c r="J502" s="5"/>
      <c r="K502" s="5"/>
      <c r="L502" s="5"/>
      <c r="M502" s="5"/>
      <c r="N502" s="5"/>
      <c r="O502" s="5"/>
      <c r="P502" s="5"/>
      <c r="Q502" s="1456">
        <v>165</v>
      </c>
      <c r="R502" s="1350"/>
      <c r="S502" s="1350"/>
      <c r="T502" s="1350"/>
      <c r="U502" s="1350"/>
      <c r="V502" s="1350"/>
      <c r="W502" s="1350"/>
      <c r="X502" s="1350"/>
      <c r="Y502" s="1350"/>
      <c r="Z502" s="1350"/>
      <c r="AA502" s="1350"/>
      <c r="AB502" s="1350"/>
      <c r="AC502" s="1350"/>
      <c r="AD502" s="1350"/>
      <c r="AE502" s="1350"/>
      <c r="AF502" s="1350"/>
      <c r="AG502" s="1350"/>
      <c r="AH502" s="1350"/>
      <c r="AI502" s="1350"/>
      <c r="AJ502" s="1350"/>
      <c r="AK502" s="1457"/>
      <c r="AZ502" s="3"/>
      <c r="BA502" s="3"/>
      <c r="BB502" s="3"/>
      <c r="BC502" s="3"/>
    </row>
    <row r="503" spans="1:66" ht="12.95" customHeight="1">
      <c r="B503" s="87" t="s">
        <v>1348</v>
      </c>
      <c r="C503" s="5"/>
      <c r="D503" s="5"/>
      <c r="E503" s="5"/>
      <c r="F503" s="5"/>
      <c r="G503" s="5"/>
      <c r="H503" s="5"/>
      <c r="I503" s="5"/>
      <c r="J503" s="5"/>
      <c r="K503" s="5"/>
      <c r="L503" s="5"/>
      <c r="M503" s="1386">
        <v>98</v>
      </c>
      <c r="N503" s="1387"/>
      <c r="O503" s="1387"/>
      <c r="P503" s="1388"/>
      <c r="Q503" s="87" t="s">
        <v>1349</v>
      </c>
      <c r="R503" s="5"/>
      <c r="S503" s="5"/>
      <c r="T503" s="5"/>
      <c r="U503" s="5"/>
      <c r="V503" s="5"/>
      <c r="W503" s="5"/>
      <c r="X503" s="5"/>
      <c r="Y503" s="5"/>
      <c r="Z503" s="5"/>
      <c r="AA503" s="5"/>
      <c r="AB503" s="5"/>
      <c r="AC503" s="5"/>
      <c r="AD503" s="5"/>
      <c r="AE503" s="5"/>
      <c r="AF503" s="5"/>
      <c r="AG503" s="5"/>
      <c r="AH503" s="1386">
        <v>67</v>
      </c>
      <c r="AI503" s="1387"/>
      <c r="AJ503" s="1387"/>
      <c r="AK503" s="1388"/>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928</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39" t="s">
        <v>1350</v>
      </c>
      <c r="AD507" s="1640"/>
      <c r="AE507" s="1640"/>
      <c r="AF507" s="1640"/>
      <c r="AG507" s="1640"/>
      <c r="AH507" s="1640"/>
      <c r="AI507" s="1640"/>
      <c r="AJ507" s="1640"/>
      <c r="AK507" s="1641"/>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39" t="s">
        <v>1351</v>
      </c>
      <c r="AD508" s="1640"/>
      <c r="AE508" s="1640"/>
      <c r="AF508" s="1640"/>
      <c r="AG508" s="42" t="s">
        <v>1352</v>
      </c>
      <c r="AH508" s="1640" t="s">
        <v>1353</v>
      </c>
      <c r="AI508" s="1640"/>
      <c r="AJ508" s="1640"/>
      <c r="AK508" s="1641"/>
      <c r="AZ508" s="3"/>
      <c r="BA508" s="3"/>
      <c r="BB508" s="3"/>
      <c r="BC508" s="3"/>
      <c r="BD508" s="3"/>
      <c r="BE508" s="3"/>
      <c r="BF508" s="3"/>
      <c r="BG508" s="3"/>
      <c r="BH508" s="3"/>
      <c r="BI508" s="3"/>
      <c r="BJ508" s="3"/>
      <c r="BK508" s="3"/>
      <c r="BL508" s="3"/>
      <c r="BM508" s="3"/>
      <c r="BN508" s="3"/>
    </row>
    <row r="509" spans="1:66" ht="12.95" customHeight="1">
      <c r="B509" s="1366" t="s">
        <v>1354</v>
      </c>
      <c r="C509" s="1367"/>
      <c r="D509" s="1367"/>
      <c r="E509" s="1367"/>
      <c r="F509" s="1367"/>
      <c r="G509" s="1367"/>
      <c r="H509" s="1368"/>
      <c r="I509" s="34" t="s">
        <v>1355</v>
      </c>
      <c r="J509" s="34"/>
      <c r="K509" s="34"/>
      <c r="L509" s="34"/>
      <c r="M509" s="34"/>
      <c r="N509" s="34"/>
      <c r="O509" s="34"/>
      <c r="P509" s="34"/>
      <c r="Q509" s="34"/>
      <c r="R509" s="34"/>
      <c r="S509" s="34"/>
      <c r="T509" s="34"/>
      <c r="U509" s="34"/>
      <c r="V509" s="34"/>
      <c r="W509" s="34"/>
      <c r="AC509" s="1408">
        <v>3</v>
      </c>
      <c r="AD509" s="1409"/>
      <c r="AE509" s="1409"/>
      <c r="AF509" s="1409"/>
      <c r="AG509" s="12" t="s">
        <v>1352</v>
      </c>
      <c r="AH509" s="1268">
        <v>2021</v>
      </c>
      <c r="AI509" s="1268"/>
      <c r="AJ509" s="1268"/>
      <c r="AK509" s="1269"/>
      <c r="AZ509" s="3"/>
      <c r="BA509" s="3"/>
      <c r="BB509" s="3"/>
      <c r="BC509" s="3"/>
      <c r="BD509" s="3"/>
      <c r="BE509" s="3"/>
      <c r="BF509" s="3"/>
      <c r="BG509" s="3"/>
      <c r="BH509" s="3"/>
      <c r="BI509" s="3"/>
      <c r="BJ509" s="3"/>
      <c r="BK509" s="3"/>
      <c r="BL509" s="3"/>
      <c r="BM509" s="3"/>
      <c r="BN509" s="3"/>
    </row>
    <row r="510" spans="1:66" ht="12.95" customHeight="1">
      <c r="B510" s="1369"/>
      <c r="C510" s="1370"/>
      <c r="D510" s="1370"/>
      <c r="E510" s="1370"/>
      <c r="F510" s="1370"/>
      <c r="G510" s="1370"/>
      <c r="H510" s="1371"/>
      <c r="I510" s="40" t="s">
        <v>1356</v>
      </c>
      <c r="J510" s="40"/>
      <c r="K510" s="40"/>
      <c r="L510" s="40"/>
      <c r="M510" s="40"/>
      <c r="N510" s="40"/>
      <c r="O510" s="40"/>
      <c r="P510" s="40"/>
      <c r="Q510" s="40"/>
      <c r="R510" s="40"/>
      <c r="S510" s="40"/>
      <c r="T510" s="40"/>
      <c r="U510" s="40"/>
      <c r="V510" s="40"/>
      <c r="W510" s="40"/>
      <c r="X510" s="40"/>
      <c r="Y510" s="40"/>
      <c r="Z510" s="40"/>
      <c r="AA510" s="40"/>
      <c r="AB510" s="40"/>
      <c r="AC510" s="1408">
        <v>4</v>
      </c>
      <c r="AD510" s="1409"/>
      <c r="AE510" s="1409"/>
      <c r="AF510" s="1409"/>
      <c r="AG510" s="30" t="s">
        <v>1352</v>
      </c>
      <c r="AH510" s="1268">
        <v>2019</v>
      </c>
      <c r="AI510" s="1268"/>
      <c r="AJ510" s="1268"/>
      <c r="AK510" s="1269"/>
      <c r="AZ510" s="3"/>
      <c r="BA510" s="3"/>
      <c r="BB510" s="3"/>
      <c r="BC510" s="3"/>
      <c r="BD510" s="3"/>
      <c r="BE510" s="3"/>
      <c r="BF510" s="3"/>
      <c r="BG510" s="3"/>
      <c r="BH510" s="3"/>
      <c r="BI510" s="3"/>
      <c r="BJ510" s="3"/>
      <c r="BK510" s="3"/>
      <c r="BL510" s="3"/>
      <c r="BM510" s="3"/>
      <c r="BN510" s="3"/>
    </row>
    <row r="511" spans="1:66" ht="12.95" customHeight="1">
      <c r="B511" s="1366" t="s">
        <v>1357</v>
      </c>
      <c r="C511" s="1367"/>
      <c r="D511" s="1367"/>
      <c r="E511" s="1367"/>
      <c r="F511" s="1367"/>
      <c r="G511" s="1367"/>
      <c r="H511" s="1368"/>
      <c r="I511" s="34" t="s">
        <v>1358</v>
      </c>
      <c r="J511" s="34"/>
      <c r="K511" s="34"/>
      <c r="L511" s="34"/>
      <c r="M511" s="34"/>
      <c r="N511" s="34"/>
      <c r="O511" s="34"/>
      <c r="P511" s="34"/>
      <c r="Q511" s="34"/>
      <c r="R511" s="34"/>
      <c r="S511" s="34"/>
      <c r="T511" s="34"/>
      <c r="U511" s="34"/>
      <c r="V511" s="34"/>
      <c r="W511" s="34"/>
      <c r="AC511" s="1408" t="s">
        <v>826</v>
      </c>
      <c r="AD511" s="1409"/>
      <c r="AE511" s="1409"/>
      <c r="AF511" s="1409"/>
      <c r="AG511" s="12" t="s">
        <v>1352</v>
      </c>
      <c r="AH511" s="1268"/>
      <c r="AI511" s="1268"/>
      <c r="AJ511" s="1268"/>
      <c r="AK511" s="1269"/>
      <c r="AZ511" s="3"/>
      <c r="BA511" s="3"/>
      <c r="BB511" s="3"/>
      <c r="BC511" s="3"/>
      <c r="BD511" s="3"/>
      <c r="BE511" s="3"/>
      <c r="BF511" s="3"/>
      <c r="BG511" s="3"/>
      <c r="BH511" s="3"/>
      <c r="BI511" s="3"/>
      <c r="BJ511" s="3"/>
      <c r="BK511" s="3"/>
      <c r="BL511" s="3"/>
      <c r="BM511" s="3"/>
      <c r="BN511" s="3"/>
    </row>
    <row r="512" spans="1:66" ht="12.95" customHeight="1">
      <c r="B512" s="1369"/>
      <c r="C512" s="1370"/>
      <c r="D512" s="1370"/>
      <c r="E512" s="1370"/>
      <c r="F512" s="1370"/>
      <c r="G512" s="1370"/>
      <c r="H512" s="1371"/>
      <c r="I512" t="s">
        <v>1359</v>
      </c>
      <c r="AC512" s="1408" t="s">
        <v>826</v>
      </c>
      <c r="AD512" s="1409"/>
      <c r="AE512" s="1409"/>
      <c r="AF512" s="1409"/>
      <c r="AG512" s="12" t="s">
        <v>1352</v>
      </c>
      <c r="AH512" s="1268"/>
      <c r="AI512" s="1268"/>
      <c r="AJ512" s="1268"/>
      <c r="AK512" s="1269"/>
      <c r="AZ512" s="3"/>
      <c r="BA512" s="3"/>
      <c r="BB512" s="3"/>
      <c r="BC512" s="3"/>
      <c r="BD512" s="3"/>
      <c r="BE512" s="3"/>
      <c r="BF512" s="3"/>
      <c r="BG512" s="3"/>
      <c r="BH512" s="3"/>
      <c r="BI512" s="3"/>
      <c r="BJ512" s="3"/>
      <c r="BK512" s="3"/>
      <c r="BL512" s="3"/>
      <c r="BM512" s="3"/>
      <c r="BN512" s="3"/>
    </row>
    <row r="513" spans="2:66" ht="12.95" customHeight="1">
      <c r="B513" s="1369"/>
      <c r="C513" s="1370"/>
      <c r="D513" s="1370"/>
      <c r="E513" s="1370"/>
      <c r="F513" s="1370"/>
      <c r="G513" s="1370"/>
      <c r="H513" s="1371"/>
      <c r="I513" t="s">
        <v>1360</v>
      </c>
      <c r="AC513" s="1408">
        <v>12</v>
      </c>
      <c r="AD513" s="1409"/>
      <c r="AE513" s="1409"/>
      <c r="AF513" s="1409"/>
      <c r="AG513" s="12" t="s">
        <v>1352</v>
      </c>
      <c r="AH513" s="1268">
        <v>2023</v>
      </c>
      <c r="AI513" s="1268"/>
      <c r="AJ513" s="1268"/>
      <c r="AK513" s="1269"/>
      <c r="AZ513" s="3"/>
      <c r="BA513" s="3"/>
      <c r="BB513" s="3"/>
      <c r="BC513" s="3"/>
      <c r="BD513" s="3"/>
      <c r="BE513" s="3"/>
      <c r="BF513" s="3"/>
      <c r="BG513" s="3"/>
      <c r="BH513" s="3"/>
      <c r="BI513" s="3"/>
      <c r="BJ513" s="3"/>
      <c r="BK513" s="3"/>
      <c r="BL513" s="3"/>
      <c r="BM513" s="3"/>
      <c r="BN513" s="3"/>
    </row>
    <row r="514" spans="2:66" ht="12.95" customHeight="1">
      <c r="B514" s="1369"/>
      <c r="C514" s="1370"/>
      <c r="D514" s="1370"/>
      <c r="E514" s="1370"/>
      <c r="F514" s="1370"/>
      <c r="G514" s="1370"/>
      <c r="H514" s="1371"/>
      <c r="I514" t="s">
        <v>1361</v>
      </c>
      <c r="AC514" s="1408">
        <v>6</v>
      </c>
      <c r="AD514" s="1409"/>
      <c r="AE514" s="1409"/>
      <c r="AF514" s="1409"/>
      <c r="AG514" s="12" t="s">
        <v>1352</v>
      </c>
      <c r="AH514" s="1268">
        <v>2024</v>
      </c>
      <c r="AI514" s="1268"/>
      <c r="AJ514" s="1268"/>
      <c r="AK514" s="1269"/>
      <c r="AZ514" s="3"/>
      <c r="BA514" s="3"/>
      <c r="BB514" s="3"/>
      <c r="BC514" s="3"/>
      <c r="BD514" s="3"/>
      <c r="BE514" s="3"/>
      <c r="BF514" s="3"/>
      <c r="BG514" s="3"/>
      <c r="BH514" s="3"/>
      <c r="BI514" s="3"/>
      <c r="BJ514" s="3"/>
      <c r="BK514" s="3"/>
      <c r="BL514" s="3"/>
      <c r="BM514" s="3"/>
      <c r="BN514" s="3"/>
    </row>
    <row r="515" spans="2:66" ht="12.95" customHeight="1">
      <c r="B515" s="1369"/>
      <c r="C515" s="1370"/>
      <c r="D515" s="1370"/>
      <c r="E515" s="1370"/>
      <c r="F515" s="1370"/>
      <c r="G515" s="1370"/>
      <c r="H515" s="1371"/>
      <c r="I515" s="3" t="s">
        <v>1362</v>
      </c>
      <c r="AC515" s="1255">
        <v>6</v>
      </c>
      <c r="AD515" s="1256"/>
      <c r="AE515" s="1256"/>
      <c r="AF515" s="1256"/>
      <c r="AG515" s="12" t="s">
        <v>1352</v>
      </c>
      <c r="AH515" s="1268">
        <v>2024</v>
      </c>
      <c r="AI515" s="1268"/>
      <c r="AJ515" s="1268"/>
      <c r="AK515" s="1269"/>
      <c r="AZ515" s="3"/>
      <c r="BA515" s="3"/>
      <c r="BB515" s="3"/>
      <c r="BC515" s="3"/>
      <c r="BD515" s="3"/>
      <c r="BE515" s="3"/>
      <c r="BF515" s="3"/>
      <c r="BG515" s="3"/>
      <c r="BH515" s="3"/>
      <c r="BI515" s="3"/>
      <c r="BJ515" s="3"/>
      <c r="BK515" s="3"/>
      <c r="BL515" s="3"/>
      <c r="BM515" s="3"/>
      <c r="BN515" s="3"/>
    </row>
    <row r="516" spans="2:66" ht="12.95" customHeight="1">
      <c r="B516" s="1369"/>
      <c r="C516" s="1370"/>
      <c r="D516" s="1370"/>
      <c r="E516" s="1370"/>
      <c r="F516" s="1370"/>
      <c r="G516" s="1370"/>
      <c r="H516" s="1371"/>
      <c r="I516" s="788" t="s">
        <v>233</v>
      </c>
      <c r="J516" s="40"/>
      <c r="K516" s="40"/>
      <c r="L516" s="1635" t="s">
        <v>1282</v>
      </c>
      <c r="M516" s="1636"/>
      <c r="N516" s="1636"/>
      <c r="O516" s="1636"/>
      <c r="P516" s="1636"/>
      <c r="Q516" s="1636"/>
      <c r="R516" s="1636"/>
      <c r="S516" s="1636"/>
      <c r="T516" s="1636"/>
      <c r="U516" s="1636"/>
      <c r="V516" s="1636"/>
      <c r="W516" s="1636"/>
      <c r="X516" s="1636"/>
      <c r="Y516" s="1636"/>
      <c r="Z516" s="1636"/>
      <c r="AA516" s="1636"/>
      <c r="AB516" s="1714"/>
      <c r="AC516" s="1408" t="s">
        <v>826</v>
      </c>
      <c r="AD516" s="1409"/>
      <c r="AE516" s="1409"/>
      <c r="AF516" s="1409"/>
      <c r="AG516" s="30" t="s">
        <v>1352</v>
      </c>
      <c r="AH516" s="1268"/>
      <c r="AI516" s="1268"/>
      <c r="AJ516" s="1268"/>
      <c r="AK516" s="1269"/>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1363</v>
      </c>
      <c r="AC517" s="1648" t="s">
        <v>862</v>
      </c>
      <c r="AD517" s="1648"/>
      <c r="AE517" s="1648"/>
      <c r="AF517" s="1648"/>
      <c r="AG517" s="12"/>
      <c r="AH517" s="1232"/>
      <c r="AI517" s="1232"/>
      <c r="AJ517" s="1232"/>
      <c r="AK517" s="1699"/>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1364</v>
      </c>
      <c r="AC518" s="1255">
        <v>2</v>
      </c>
      <c r="AD518" s="1256"/>
      <c r="AE518" s="1256"/>
      <c r="AF518" s="1257"/>
      <c r="AG518" s="12"/>
      <c r="AH518" s="1232"/>
      <c r="AI518" s="1232"/>
      <c r="AJ518" s="1232"/>
      <c r="AK518" s="1699"/>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1365</v>
      </c>
      <c r="AC519" s="1153"/>
      <c r="AD519" s="1154"/>
      <c r="AE519" s="1154"/>
      <c r="AF519" s="1155"/>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1366</v>
      </c>
      <c r="J520" s="40"/>
      <c r="K520" s="40"/>
      <c r="L520" s="40"/>
      <c r="M520" s="40"/>
      <c r="N520" s="40"/>
      <c r="O520" s="40"/>
      <c r="P520" s="40"/>
      <c r="Q520" s="40"/>
      <c r="R520" s="40"/>
      <c r="S520" s="40"/>
      <c r="T520" s="40"/>
      <c r="U520" s="40"/>
      <c r="V520" s="40"/>
      <c r="W520" s="40"/>
      <c r="X520" s="40"/>
      <c r="Y520" s="40"/>
      <c r="Z520" s="40"/>
      <c r="AA520" s="40"/>
      <c r="AB520" s="40"/>
      <c r="AC520" s="1701">
        <v>1</v>
      </c>
      <c r="AD520" s="1702"/>
      <c r="AE520" s="1702"/>
      <c r="AF520" s="1703"/>
      <c r="AG520" s="30"/>
      <c r="AH520" s="1633"/>
      <c r="AI520" s="1633"/>
      <c r="AJ520" s="1633"/>
      <c r="AK520" s="1634"/>
      <c r="AZ520" s="3"/>
      <c r="BA520" s="3"/>
      <c r="BB520" s="3"/>
      <c r="BC520" s="3"/>
      <c r="BD520" s="3"/>
      <c r="BE520" s="3"/>
      <c r="BF520" s="3"/>
      <c r="BG520" s="3"/>
      <c r="BH520" s="3"/>
      <c r="BI520" s="3"/>
      <c r="BJ520" s="3"/>
      <c r="BK520" s="3"/>
      <c r="BL520" s="3"/>
      <c r="BM520" s="3"/>
      <c r="BN520" s="3" t="s">
        <v>1045</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97" t="s">
        <v>1351</v>
      </c>
      <c r="AD521" s="1553"/>
      <c r="AE521" s="1553"/>
      <c r="AF521" s="1553"/>
      <c r="AG521" s="30" t="s">
        <v>1352</v>
      </c>
      <c r="AH521" s="1553" t="s">
        <v>1353</v>
      </c>
      <c r="AI521" s="1553"/>
      <c r="AJ521" s="1553"/>
      <c r="AK521" s="1718"/>
      <c r="AZ521" s="3"/>
      <c r="BA521" s="3"/>
      <c r="BB521" s="3"/>
      <c r="BC521" s="3"/>
      <c r="BD521" s="3"/>
      <c r="BE521" s="3"/>
      <c r="BF521" s="3"/>
      <c r="BG521" s="3"/>
      <c r="BH521" s="3"/>
      <c r="BI521" s="3"/>
      <c r="BJ521" s="3"/>
      <c r="BK521" s="3"/>
      <c r="BL521" s="3"/>
      <c r="BM521" s="3"/>
      <c r="BN521" s="3" t="s">
        <v>1367</v>
      </c>
    </row>
    <row r="522" spans="2:66" ht="12.95" customHeight="1">
      <c r="B522" s="1366" t="s">
        <v>1368</v>
      </c>
      <c r="C522" s="1367"/>
      <c r="D522" s="1367"/>
      <c r="E522" s="1367"/>
      <c r="F522" s="1367"/>
      <c r="G522" s="1367"/>
      <c r="H522" s="1368"/>
      <c r="I522" s="34" t="s">
        <v>1369</v>
      </c>
      <c r="J522" s="34"/>
      <c r="K522" s="34"/>
      <c r="L522" s="34"/>
      <c r="M522" s="34"/>
      <c r="N522" s="34"/>
      <c r="O522" s="34"/>
      <c r="P522" s="34"/>
      <c r="Q522" s="34"/>
      <c r="R522" s="34"/>
      <c r="S522" s="34"/>
      <c r="T522" s="34"/>
      <c r="U522" s="34"/>
      <c r="V522" s="34"/>
      <c r="W522" s="34"/>
      <c r="AC522" s="1408">
        <v>5</v>
      </c>
      <c r="AD522" s="1409"/>
      <c r="AE522" s="1409"/>
      <c r="AF522" s="1409"/>
      <c r="AG522" s="12" t="s">
        <v>1352</v>
      </c>
      <c r="AH522" s="1268">
        <v>2026</v>
      </c>
      <c r="AI522" s="1268"/>
      <c r="AJ522" s="1268"/>
      <c r="AK522" s="1269"/>
      <c r="AZ522" s="3"/>
      <c r="BA522" s="3"/>
      <c r="BB522" s="3"/>
      <c r="BC522" s="3"/>
      <c r="BD522" s="3"/>
      <c r="BE522" s="3"/>
      <c r="BF522" s="3"/>
      <c r="BG522" s="3"/>
      <c r="BH522" s="3"/>
      <c r="BI522" s="3"/>
      <c r="BJ522" s="3"/>
      <c r="BK522" s="3"/>
      <c r="BL522" s="3"/>
      <c r="BM522" s="3"/>
      <c r="BN522" s="3" t="s">
        <v>1370</v>
      </c>
    </row>
    <row r="523" spans="2:66" ht="12.95" customHeight="1">
      <c r="B523" s="1369"/>
      <c r="C523" s="1370"/>
      <c r="D523" s="1370"/>
      <c r="E523" s="1370"/>
      <c r="F523" s="1370"/>
      <c r="G523" s="1370"/>
      <c r="H523" s="1371"/>
      <c r="I523" t="s">
        <v>1371</v>
      </c>
      <c r="AC523" s="1408">
        <v>5</v>
      </c>
      <c r="AD523" s="1409"/>
      <c r="AE523" s="1409"/>
      <c r="AF523" s="1409"/>
      <c r="AG523" s="12" t="s">
        <v>1352</v>
      </c>
      <c r="AH523" s="1268">
        <v>2026</v>
      </c>
      <c r="AI523" s="1268"/>
      <c r="AJ523" s="1268"/>
      <c r="AK523" s="1269"/>
      <c r="AZ523" s="3"/>
      <c r="BA523" s="3"/>
      <c r="BB523" s="3"/>
      <c r="BC523" s="3"/>
      <c r="BD523" s="3"/>
      <c r="BE523" s="3"/>
      <c r="BF523" s="3"/>
      <c r="BG523" s="3"/>
      <c r="BH523" s="3"/>
      <c r="BI523" s="3"/>
      <c r="BJ523" s="3"/>
      <c r="BK523" s="3"/>
      <c r="BL523" s="3"/>
      <c r="BM523" s="3"/>
      <c r="BN523" s="3" t="s">
        <v>1372</v>
      </c>
    </row>
    <row r="524" spans="2:66" ht="12.95" customHeight="1">
      <c r="B524" s="1369"/>
      <c r="C524" s="1370"/>
      <c r="D524" s="1370"/>
      <c r="E524" s="1370"/>
      <c r="F524" s="1370"/>
      <c r="G524" s="1370"/>
      <c r="H524" s="1371"/>
      <c r="I524" s="40" t="s">
        <v>1373</v>
      </c>
      <c r="J524" s="40"/>
      <c r="K524" s="40"/>
      <c r="L524" s="40"/>
      <c r="M524" s="40"/>
      <c r="N524" s="40"/>
      <c r="O524" s="40"/>
      <c r="P524" s="40"/>
      <c r="Q524" s="40"/>
      <c r="R524" s="40"/>
      <c r="S524" s="40"/>
      <c r="T524" s="40"/>
      <c r="U524" s="40"/>
      <c r="V524" s="40"/>
      <c r="W524" s="40"/>
      <c r="X524" s="40"/>
      <c r="Y524" s="40"/>
      <c r="Z524" s="40"/>
      <c r="AA524" s="40"/>
      <c r="AB524" s="40"/>
      <c r="AC524" s="1408">
        <v>2</v>
      </c>
      <c r="AD524" s="1409"/>
      <c r="AE524" s="1409"/>
      <c r="AF524" s="1409"/>
      <c r="AG524" s="30" t="s">
        <v>1352</v>
      </c>
      <c r="AH524" s="1268">
        <v>2027</v>
      </c>
      <c r="AI524" s="1268"/>
      <c r="AJ524" s="1268"/>
      <c r="AK524" s="1269"/>
      <c r="AZ524" s="3"/>
      <c r="BA524" s="3"/>
      <c r="BB524" s="3"/>
      <c r="BC524" s="3"/>
      <c r="BD524" s="3"/>
      <c r="BE524" s="3"/>
      <c r="BF524" s="3"/>
      <c r="BG524" s="3"/>
      <c r="BH524" s="3"/>
      <c r="BI524" s="3"/>
      <c r="BJ524" s="3"/>
      <c r="BK524" s="3"/>
      <c r="BL524" s="3"/>
      <c r="BM524" s="3"/>
      <c r="BN524" s="3" t="s">
        <v>1374</v>
      </c>
    </row>
    <row r="525" spans="2:66" ht="12.95" customHeight="1">
      <c r="B525" s="1366" t="s">
        <v>1375</v>
      </c>
      <c r="C525" s="1367"/>
      <c r="D525" s="1367"/>
      <c r="E525" s="1367"/>
      <c r="F525" s="1367"/>
      <c r="G525" s="1367"/>
      <c r="H525" s="1368"/>
      <c r="I525" s="34" t="s">
        <v>1369</v>
      </c>
      <c r="J525" s="34"/>
      <c r="K525" s="34"/>
      <c r="L525" s="34"/>
      <c r="M525" s="34"/>
      <c r="N525" s="34"/>
      <c r="O525" s="34"/>
      <c r="P525" s="34"/>
      <c r="Q525" s="34"/>
      <c r="R525" s="34"/>
      <c r="S525" s="34"/>
      <c r="T525" s="34"/>
      <c r="U525" s="34"/>
      <c r="V525" s="34"/>
      <c r="W525" s="34"/>
      <c r="X525" s="34"/>
      <c r="Y525" s="34"/>
      <c r="Z525" s="34"/>
      <c r="AA525" s="34"/>
      <c r="AB525" s="34"/>
      <c r="AC525" s="1255" t="s">
        <v>826</v>
      </c>
      <c r="AD525" s="1256"/>
      <c r="AE525" s="1256"/>
      <c r="AF525" s="1256"/>
      <c r="AG525" s="94" t="s">
        <v>1352</v>
      </c>
      <c r="AH525" s="1268"/>
      <c r="AI525" s="1268"/>
      <c r="AJ525" s="1268"/>
      <c r="AK525" s="1269"/>
      <c r="AZ525" s="3"/>
      <c r="BB525" s="3"/>
      <c r="BC525" s="3"/>
      <c r="BD525" s="3"/>
      <c r="BE525" s="3"/>
      <c r="BF525" s="3"/>
      <c r="BG525" s="3"/>
      <c r="BH525" s="3"/>
      <c r="BI525" s="3"/>
      <c r="BJ525" s="3"/>
      <c r="BK525" s="3"/>
      <c r="BL525" s="3"/>
      <c r="BM525" s="3"/>
      <c r="BN525" s="3" t="s">
        <v>1376</v>
      </c>
    </row>
    <row r="526" spans="2:66" ht="12.95" customHeight="1">
      <c r="B526" s="1369"/>
      <c r="C526" s="1370"/>
      <c r="D526" s="1370"/>
      <c r="E526" s="1370"/>
      <c r="F526" s="1370"/>
      <c r="G526" s="1370"/>
      <c r="H526" s="1371"/>
      <c r="I526" t="s">
        <v>1371</v>
      </c>
      <c r="AC526" s="1408" t="s">
        <v>826</v>
      </c>
      <c r="AD526" s="1409"/>
      <c r="AE526" s="1409"/>
      <c r="AF526" s="1409"/>
      <c r="AG526" s="12" t="s">
        <v>1352</v>
      </c>
      <c r="AH526" s="1268"/>
      <c r="AI526" s="1268"/>
      <c r="AJ526" s="1268"/>
      <c r="AK526" s="1269"/>
      <c r="BB526" s="3"/>
      <c r="BC526" s="3"/>
      <c r="BD526" s="3"/>
      <c r="BE526" s="3"/>
      <c r="BF526" s="3"/>
      <c r="BG526" s="3"/>
      <c r="BH526" s="3"/>
      <c r="BI526" s="3"/>
      <c r="BJ526" s="3"/>
      <c r="BK526" s="3"/>
      <c r="BL526" s="3"/>
      <c r="BM526" s="3"/>
      <c r="BN526" s="3" t="s">
        <v>1377</v>
      </c>
    </row>
    <row r="527" spans="2:66" ht="12.95" customHeight="1">
      <c r="B527" s="1372"/>
      <c r="C527" s="1373"/>
      <c r="D527" s="1373"/>
      <c r="E527" s="1373"/>
      <c r="F527" s="1373"/>
      <c r="G527" s="1373"/>
      <c r="H527" s="1374"/>
      <c r="I527" s="40" t="s">
        <v>1373</v>
      </c>
      <c r="J527" s="40"/>
      <c r="K527" s="40"/>
      <c r="L527" s="40"/>
      <c r="M527" s="40"/>
      <c r="N527" s="40"/>
      <c r="O527" s="40"/>
      <c r="P527" s="40"/>
      <c r="Q527" s="40"/>
      <c r="R527" s="40"/>
      <c r="S527" s="40"/>
      <c r="T527" s="40"/>
      <c r="U527" s="40"/>
      <c r="V527" s="40"/>
      <c r="W527" s="40"/>
      <c r="X527" s="40"/>
      <c r="Y527" s="40"/>
      <c r="Z527" s="40"/>
      <c r="AA527" s="40"/>
      <c r="AB527" s="40"/>
      <c r="AC527" s="1408" t="s">
        <v>826</v>
      </c>
      <c r="AD527" s="1409"/>
      <c r="AE527" s="1409"/>
      <c r="AF527" s="1409"/>
      <c r="AG527" s="30" t="s">
        <v>1352</v>
      </c>
      <c r="AH527" s="1268"/>
      <c r="AI527" s="1268"/>
      <c r="AJ527" s="1268"/>
      <c r="AK527" s="1269"/>
      <c r="BB527" s="3"/>
      <c r="BC527" s="3"/>
      <c r="BD527" s="3"/>
      <c r="BE527" s="3"/>
      <c r="BF527" s="3"/>
      <c r="BG527" s="3"/>
      <c r="BH527" s="3"/>
      <c r="BI527" s="3"/>
      <c r="BJ527" s="3"/>
      <c r="BK527" s="3"/>
      <c r="BL527" s="3"/>
      <c r="BM527" s="3"/>
      <c r="BN527" s="3" t="s">
        <v>1378</v>
      </c>
    </row>
    <row r="528" spans="2:66" ht="12.95" customHeight="1">
      <c r="B528" s="1366" t="s">
        <v>1379</v>
      </c>
      <c r="C528" s="1367"/>
      <c r="D528" s="1367"/>
      <c r="E528" s="1367"/>
      <c r="F528" s="1367"/>
      <c r="G528" s="1367"/>
      <c r="H528" s="1368"/>
      <c r="I528" s="33" t="s">
        <v>1380</v>
      </c>
      <c r="J528" s="34"/>
      <c r="K528" s="34"/>
      <c r="L528" s="34"/>
      <c r="M528" s="34"/>
      <c r="N528" s="34"/>
      <c r="O528" s="1635" t="s">
        <v>1381</v>
      </c>
      <c r="P528" s="1636"/>
      <c r="Q528" s="1636"/>
      <c r="R528" s="1636"/>
      <c r="S528" s="1636"/>
      <c r="T528" s="1636"/>
      <c r="U528" s="1636"/>
      <c r="V528" s="1636"/>
      <c r="W528" s="1636"/>
      <c r="X528" s="1636"/>
      <c r="Y528" s="1636"/>
      <c r="Z528" s="1636"/>
      <c r="AA528" s="1636"/>
      <c r="AB528" s="50"/>
      <c r="AC528" s="1255">
        <v>7</v>
      </c>
      <c r="AD528" s="1256"/>
      <c r="AE528" s="1256"/>
      <c r="AF528" s="1256"/>
      <c r="AG528" s="94" t="s">
        <v>1352</v>
      </c>
      <c r="AH528" s="1268">
        <v>2020</v>
      </c>
      <c r="AI528" s="1268"/>
      <c r="AJ528" s="1268"/>
      <c r="AK528" s="1269"/>
      <c r="AZ528" s="3"/>
      <c r="BB528" s="3"/>
      <c r="BC528" s="3"/>
      <c r="BD528" s="3"/>
      <c r="BE528" s="3"/>
      <c r="BF528" s="3"/>
      <c r="BG528" s="3"/>
      <c r="BH528" s="3"/>
      <c r="BI528" s="3"/>
      <c r="BJ528" s="3"/>
      <c r="BK528" s="3"/>
      <c r="BL528" s="3"/>
      <c r="BM528" s="3"/>
      <c r="BN528" s="3" t="s">
        <v>1382</v>
      </c>
    </row>
    <row r="529" spans="2:66" ht="12.95" customHeight="1">
      <c r="B529" s="1369"/>
      <c r="C529" s="1370"/>
      <c r="D529" s="1370"/>
      <c r="E529" s="1370"/>
      <c r="F529" s="1370"/>
      <c r="G529" s="1370"/>
      <c r="H529" s="1371"/>
      <c r="I529" s="82" t="s">
        <v>44</v>
      </c>
      <c r="AB529" s="56"/>
      <c r="AC529" s="1408">
        <v>2</v>
      </c>
      <c r="AD529" s="1409"/>
      <c r="AE529" s="1409"/>
      <c r="AF529" s="1409"/>
      <c r="AG529" s="12" t="s">
        <v>1352</v>
      </c>
      <c r="AH529" s="1268">
        <v>2020</v>
      </c>
      <c r="AI529" s="1268"/>
      <c r="AJ529" s="1268"/>
      <c r="AK529" s="1269"/>
      <c r="AZ529" s="3"/>
      <c r="BB529" s="3"/>
      <c r="BC529" s="3"/>
      <c r="BD529" s="3"/>
      <c r="BE529" s="3"/>
      <c r="BF529" s="3"/>
      <c r="BG529" s="3"/>
      <c r="BH529" s="3"/>
      <c r="BI529" s="3"/>
      <c r="BJ529" s="3"/>
      <c r="BK529" s="3"/>
      <c r="BL529" s="3"/>
      <c r="BM529" s="3"/>
      <c r="BN529" s="3" t="s">
        <v>1383</v>
      </c>
    </row>
    <row r="530" spans="2:66" ht="12.95" customHeight="1">
      <c r="B530" s="1369"/>
      <c r="C530" s="1370"/>
      <c r="D530" s="1370"/>
      <c r="E530" s="1370"/>
      <c r="F530" s="1370"/>
      <c r="G530" s="1370"/>
      <c r="H530" s="1371"/>
      <c r="I530" s="39" t="s">
        <v>1384</v>
      </c>
      <c r="J530" s="40"/>
      <c r="K530" s="40"/>
      <c r="L530" s="40"/>
      <c r="M530" s="40"/>
      <c r="N530" s="40"/>
      <c r="O530" s="40"/>
      <c r="P530" s="40"/>
      <c r="Q530" s="40"/>
      <c r="R530" s="40"/>
      <c r="S530" s="40"/>
      <c r="T530" s="40"/>
      <c r="U530" s="40"/>
      <c r="V530" s="40"/>
      <c r="W530" s="40"/>
      <c r="X530" s="40"/>
      <c r="Y530" s="40"/>
      <c r="Z530" s="40"/>
      <c r="AA530" s="40"/>
      <c r="AB530" s="41"/>
      <c r="AC530" s="1408">
        <v>2</v>
      </c>
      <c r="AD530" s="1409"/>
      <c r="AE530" s="1409"/>
      <c r="AF530" s="1409"/>
      <c r="AG530" s="30" t="s">
        <v>1352</v>
      </c>
      <c r="AH530" s="1268">
        <v>2027</v>
      </c>
      <c r="AI530" s="1268"/>
      <c r="AJ530" s="1268"/>
      <c r="AK530" s="1269"/>
      <c r="AZ530" s="3"/>
      <c r="BA530" s="3"/>
      <c r="BB530" s="3"/>
      <c r="BC530" s="3"/>
      <c r="BD530" s="3"/>
      <c r="BE530" s="3"/>
      <c r="BF530" s="3"/>
      <c r="BG530" s="3"/>
      <c r="BH530" s="3"/>
      <c r="BI530" s="3"/>
      <c r="BJ530" s="3"/>
      <c r="BK530" s="3"/>
      <c r="BL530" s="3"/>
      <c r="BM530" s="3"/>
      <c r="BN530" s="3" t="s">
        <v>1385</v>
      </c>
    </row>
    <row r="531" spans="2:66" ht="12.95" customHeight="1">
      <c r="B531" s="1369"/>
      <c r="C531" s="1370"/>
      <c r="D531" s="1370"/>
      <c r="E531" s="1370"/>
      <c r="F531" s="1370"/>
      <c r="G531" s="1370"/>
      <c r="H531" s="1371"/>
      <c r="I531" s="34" t="s">
        <v>1386</v>
      </c>
      <c r="J531" s="34"/>
      <c r="K531" s="34"/>
      <c r="L531" s="34"/>
      <c r="M531" s="34"/>
      <c r="N531" s="34"/>
      <c r="O531" s="1635" t="s">
        <v>1387</v>
      </c>
      <c r="P531" s="1636"/>
      <c r="Q531" s="1636"/>
      <c r="R531" s="1636"/>
      <c r="S531" s="1636"/>
      <c r="T531" s="1636"/>
      <c r="U531" s="1636"/>
      <c r="V531" s="1636"/>
      <c r="W531" s="1636"/>
      <c r="X531" s="1636"/>
      <c r="Y531" s="1636"/>
      <c r="Z531" s="1636"/>
      <c r="AA531" s="1636"/>
      <c r="AC531" s="1408">
        <v>2</v>
      </c>
      <c r="AD531" s="1409"/>
      <c r="AE531" s="1409"/>
      <c r="AF531" s="1409"/>
      <c r="AG531" s="12" t="s">
        <v>1352</v>
      </c>
      <c r="AH531" s="1268">
        <v>2023</v>
      </c>
      <c r="AI531" s="1268"/>
      <c r="AJ531" s="1268"/>
      <c r="AK531" s="1269"/>
      <c r="AZ531" s="3"/>
      <c r="BA531" s="3"/>
      <c r="BB531" s="3"/>
      <c r="BC531" s="3"/>
      <c r="BD531" s="3"/>
      <c r="BE531" s="3"/>
      <c r="BF531" s="3"/>
      <c r="BG531" s="3"/>
      <c r="BH531" s="3"/>
      <c r="BI531" s="3"/>
      <c r="BJ531" s="3"/>
      <c r="BK531" s="3"/>
      <c r="BL531" s="3"/>
      <c r="BM531" s="3"/>
      <c r="BN531" s="3" t="s">
        <v>1388</v>
      </c>
    </row>
    <row r="532" spans="2:66" ht="12.95" customHeight="1">
      <c r="B532" s="1369"/>
      <c r="C532" s="1370"/>
      <c r="D532" s="1370"/>
      <c r="E532" s="1370"/>
      <c r="F532" s="1370"/>
      <c r="G532" s="1370"/>
      <c r="H532" s="1371"/>
      <c r="I532" t="s">
        <v>44</v>
      </c>
      <c r="AC532" s="1408">
        <v>7</v>
      </c>
      <c r="AD532" s="1409"/>
      <c r="AE532" s="1409"/>
      <c r="AF532" s="1409"/>
      <c r="AG532" s="12" t="s">
        <v>1352</v>
      </c>
      <c r="AH532" s="1268">
        <v>2022</v>
      </c>
      <c r="AI532" s="1268"/>
      <c r="AJ532" s="1268"/>
      <c r="AK532" s="1269"/>
      <c r="AZ532" s="3"/>
      <c r="BA532" s="3"/>
      <c r="BB532" s="3"/>
      <c r="BC532" s="3"/>
      <c r="BD532" s="3"/>
      <c r="BE532" s="3"/>
      <c r="BF532" s="3"/>
      <c r="BG532" s="3"/>
      <c r="BH532" s="3"/>
      <c r="BI532" s="3"/>
      <c r="BJ532" s="3"/>
      <c r="BK532" s="3"/>
      <c r="BL532" s="3"/>
      <c r="BM532" s="3"/>
      <c r="BN532" s="3" t="s">
        <v>1389</v>
      </c>
    </row>
    <row r="533" spans="2:66" ht="12.95" customHeight="1">
      <c r="B533" s="1369"/>
      <c r="C533" s="1370"/>
      <c r="D533" s="1370"/>
      <c r="E533" s="1370"/>
      <c r="F533" s="1370"/>
      <c r="G533" s="1370"/>
      <c r="H533" s="1371"/>
      <c r="I533" s="40" t="s">
        <v>1384</v>
      </c>
      <c r="J533" s="40"/>
      <c r="K533" s="40"/>
      <c r="L533" s="40"/>
      <c r="M533" s="40"/>
      <c r="N533" s="40"/>
      <c r="O533" s="40"/>
      <c r="P533" s="40"/>
      <c r="Q533" s="40"/>
      <c r="R533" s="40"/>
      <c r="S533" s="40"/>
      <c r="T533" s="40"/>
      <c r="U533" s="40"/>
      <c r="V533" s="40"/>
      <c r="W533" s="40"/>
      <c r="X533" s="40"/>
      <c r="Y533" s="40"/>
      <c r="Z533" s="40"/>
      <c r="AA533" s="40"/>
      <c r="AB533" s="40"/>
      <c r="AC533" s="1408">
        <v>9</v>
      </c>
      <c r="AD533" s="1409"/>
      <c r="AE533" s="1409"/>
      <c r="AF533" s="1409"/>
      <c r="AG533" s="30" t="s">
        <v>1352</v>
      </c>
      <c r="AH533" s="1268">
        <v>2028</v>
      </c>
      <c r="AI533" s="1268"/>
      <c r="AJ533" s="1268"/>
      <c r="AK533" s="1269"/>
      <c r="AZ533" s="3"/>
      <c r="BA533" s="3"/>
      <c r="BB533" s="3"/>
      <c r="BC533" s="3"/>
      <c r="BD533" s="3"/>
      <c r="BE533" s="3"/>
      <c r="BF533" s="3"/>
      <c r="BG533" s="3"/>
      <c r="BH533" s="3"/>
      <c r="BI533" s="3"/>
      <c r="BJ533" s="3"/>
      <c r="BK533" s="3"/>
      <c r="BL533" s="3"/>
      <c r="BM533" s="3"/>
      <c r="BN533" s="3" t="s">
        <v>1390</v>
      </c>
    </row>
    <row r="534" spans="2:66" ht="12.95" customHeight="1">
      <c r="B534" s="1369"/>
      <c r="C534" s="1370"/>
      <c r="D534" s="1370"/>
      <c r="E534" s="1370"/>
      <c r="F534" s="1370"/>
      <c r="G534" s="1370"/>
      <c r="H534" s="1371"/>
      <c r="I534" s="34" t="s">
        <v>1386</v>
      </c>
      <c r="J534" s="34"/>
      <c r="K534" s="34"/>
      <c r="L534" s="34"/>
      <c r="M534" s="34"/>
      <c r="N534" s="34"/>
      <c r="O534" s="1635" t="s">
        <v>1282</v>
      </c>
      <c r="P534" s="1636"/>
      <c r="Q534" s="1636"/>
      <c r="R534" s="1636"/>
      <c r="S534" s="1636"/>
      <c r="T534" s="1636"/>
      <c r="U534" s="1636"/>
      <c r="V534" s="1636"/>
      <c r="W534" s="1636"/>
      <c r="X534" s="1636"/>
      <c r="Y534" s="1636"/>
      <c r="Z534" s="1636"/>
      <c r="AA534" s="1636"/>
      <c r="AC534" s="1408" t="s">
        <v>826</v>
      </c>
      <c r="AD534" s="1409"/>
      <c r="AE534" s="1409"/>
      <c r="AF534" s="1409"/>
      <c r="AG534" s="12" t="s">
        <v>1352</v>
      </c>
      <c r="AH534" s="1268"/>
      <c r="AI534" s="1268"/>
      <c r="AJ534" s="1268"/>
      <c r="AK534" s="1269"/>
      <c r="AZ534" s="3"/>
      <c r="BA534" s="3"/>
      <c r="BB534" s="3"/>
      <c r="BC534" s="3"/>
      <c r="BD534" s="3"/>
      <c r="BE534" s="3"/>
      <c r="BF534" s="3"/>
      <c r="BG534" s="3"/>
      <c r="BH534" s="3"/>
      <c r="BI534" s="3"/>
      <c r="BJ534" s="3"/>
      <c r="BK534" s="3"/>
      <c r="BL534" s="3"/>
      <c r="BM534" s="3"/>
      <c r="BN534" s="3" t="s">
        <v>1391</v>
      </c>
    </row>
    <row r="535" spans="2:66" ht="12.95" customHeight="1">
      <c r="B535" s="1369"/>
      <c r="C535" s="1370"/>
      <c r="D535" s="1370"/>
      <c r="E535" s="1370"/>
      <c r="F535" s="1370"/>
      <c r="G535" s="1370"/>
      <c r="H535" s="1371"/>
      <c r="I535" t="s">
        <v>44</v>
      </c>
      <c r="AC535" s="1408" t="s">
        <v>826</v>
      </c>
      <c r="AD535" s="1409"/>
      <c r="AE535" s="1409"/>
      <c r="AF535" s="1409"/>
      <c r="AG535" s="12" t="s">
        <v>1352</v>
      </c>
      <c r="AH535" s="1268"/>
      <c r="AI535" s="1268"/>
      <c r="AJ535" s="1268"/>
      <c r="AK535" s="1269"/>
      <c r="AZ535" s="3"/>
      <c r="BA535" s="3"/>
      <c r="BB535" s="3"/>
      <c r="BC535" s="3"/>
      <c r="BD535" s="3"/>
      <c r="BE535" s="3"/>
      <c r="BF535" s="3"/>
      <c r="BG535" s="3"/>
      <c r="BH535" s="3"/>
      <c r="BI535" s="3"/>
      <c r="BJ535" s="3"/>
      <c r="BK535" s="3"/>
      <c r="BL535" s="3"/>
      <c r="BM535" s="3"/>
      <c r="BN535" s="3" t="s">
        <v>1392</v>
      </c>
    </row>
    <row r="536" spans="2:66" ht="12.95" customHeight="1">
      <c r="B536" s="1369"/>
      <c r="C536" s="1370"/>
      <c r="D536" s="1370"/>
      <c r="E536" s="1370"/>
      <c r="F536" s="1370"/>
      <c r="G536" s="1370"/>
      <c r="H536" s="1371"/>
      <c r="I536" s="40" t="s">
        <v>1384</v>
      </c>
      <c r="J536" s="40"/>
      <c r="K536" s="40"/>
      <c r="L536" s="40"/>
      <c r="M536" s="40"/>
      <c r="N536" s="40"/>
      <c r="O536" s="40"/>
      <c r="P536" s="40"/>
      <c r="Q536" s="40"/>
      <c r="R536" s="40"/>
      <c r="S536" s="40"/>
      <c r="T536" s="40"/>
      <c r="U536" s="40"/>
      <c r="V536" s="40"/>
      <c r="W536" s="40"/>
      <c r="X536" s="40"/>
      <c r="Y536" s="40"/>
      <c r="Z536" s="40"/>
      <c r="AA536" s="40"/>
      <c r="AB536" s="40"/>
      <c r="AC536" s="1408" t="s">
        <v>826</v>
      </c>
      <c r="AD536" s="1409"/>
      <c r="AE536" s="1409"/>
      <c r="AF536" s="1409"/>
      <c r="AG536" s="30" t="s">
        <v>1352</v>
      </c>
      <c r="AH536" s="1268"/>
      <c r="AI536" s="1268"/>
      <c r="AJ536" s="1268"/>
      <c r="AK536" s="1269"/>
      <c r="AZ536" s="3"/>
      <c r="BA536" s="3"/>
      <c r="BB536" s="3"/>
      <c r="BC536" s="3"/>
      <c r="BD536" s="3"/>
      <c r="BE536" s="3"/>
      <c r="BF536" s="3"/>
      <c r="BG536" s="3"/>
      <c r="BH536" s="3"/>
      <c r="BI536" s="3"/>
      <c r="BJ536" s="3"/>
      <c r="BK536" s="3"/>
      <c r="BL536" s="3"/>
      <c r="BM536" s="3"/>
      <c r="BN536" s="3" t="s">
        <v>1393</v>
      </c>
    </row>
    <row r="537" spans="2:66" ht="12.95" customHeight="1">
      <c r="B537" s="1369"/>
      <c r="C537" s="1370"/>
      <c r="D537" s="1370"/>
      <c r="E537" s="1370"/>
      <c r="F537" s="1370"/>
      <c r="G537" s="1370"/>
      <c r="H537" s="1371"/>
      <c r="I537" s="34" t="s">
        <v>1386</v>
      </c>
      <c r="J537" s="34"/>
      <c r="K537" s="34"/>
      <c r="L537" s="34"/>
      <c r="M537" s="34"/>
      <c r="N537" s="34"/>
      <c r="O537" s="1635" t="s">
        <v>1282</v>
      </c>
      <c r="P537" s="1636"/>
      <c r="Q537" s="1636"/>
      <c r="R537" s="1636"/>
      <c r="S537" s="1636"/>
      <c r="T537" s="1636"/>
      <c r="U537" s="1636"/>
      <c r="V537" s="1636"/>
      <c r="W537" s="1636"/>
      <c r="X537" s="1636"/>
      <c r="Y537" s="1636"/>
      <c r="Z537" s="1636"/>
      <c r="AA537" s="1636"/>
      <c r="AC537" s="1408" t="s">
        <v>826</v>
      </c>
      <c r="AD537" s="1409"/>
      <c r="AE537" s="1409"/>
      <c r="AF537" s="1409"/>
      <c r="AG537" s="12" t="s">
        <v>1352</v>
      </c>
      <c r="AH537" s="1268"/>
      <c r="AI537" s="1268"/>
      <c r="AJ537" s="1268"/>
      <c r="AK537" s="1269"/>
      <c r="AZ537" s="3"/>
      <c r="BA537" s="3"/>
      <c r="BB537" s="3"/>
      <c r="BC537" s="3"/>
      <c r="BD537" s="3"/>
      <c r="BE537" s="3"/>
      <c r="BF537" s="3"/>
      <c r="BG537" s="3"/>
      <c r="BH537" s="3"/>
      <c r="BI537" s="3"/>
      <c r="BJ537" s="3"/>
      <c r="BK537" s="3"/>
      <c r="BL537" s="3"/>
      <c r="BM537" s="3"/>
      <c r="BN537" s="3" t="s">
        <v>1394</v>
      </c>
    </row>
    <row r="538" spans="2:66" ht="12.95" customHeight="1">
      <c r="B538" s="1369"/>
      <c r="C538" s="1370"/>
      <c r="D538" s="1370"/>
      <c r="E538" s="1370"/>
      <c r="F538" s="1370"/>
      <c r="G538" s="1370"/>
      <c r="H538" s="1371"/>
      <c r="I538" t="s">
        <v>44</v>
      </c>
      <c r="AC538" s="1408" t="s">
        <v>826</v>
      </c>
      <c r="AD538" s="1409"/>
      <c r="AE538" s="1409"/>
      <c r="AF538" s="1409"/>
      <c r="AG538" s="12" t="s">
        <v>1352</v>
      </c>
      <c r="AH538" s="1268"/>
      <c r="AI538" s="1268"/>
      <c r="AJ538" s="1268"/>
      <c r="AK538" s="1269"/>
      <c r="AZ538" s="3"/>
      <c r="BA538" s="3"/>
      <c r="BB538" s="3"/>
      <c r="BC538" s="3"/>
      <c r="BD538" s="3"/>
      <c r="BE538" s="3"/>
      <c r="BF538" s="3"/>
      <c r="BG538" s="3"/>
      <c r="BH538" s="3"/>
      <c r="BI538" s="3"/>
      <c r="BJ538" s="3"/>
      <c r="BK538" s="3"/>
      <c r="BL538" s="3"/>
      <c r="BM538" s="3"/>
      <c r="BN538" s="3" t="s">
        <v>1395</v>
      </c>
    </row>
    <row r="539" spans="2:66" ht="12.95" customHeight="1">
      <c r="B539" s="1369"/>
      <c r="C539" s="1370"/>
      <c r="D539" s="1370"/>
      <c r="E539" s="1370"/>
      <c r="F539" s="1370"/>
      <c r="G539" s="1370"/>
      <c r="H539" s="1371"/>
      <c r="I539" s="40" t="s">
        <v>1384</v>
      </c>
      <c r="J539" s="40"/>
      <c r="K539" s="40"/>
      <c r="L539" s="40"/>
      <c r="M539" s="40"/>
      <c r="N539" s="40"/>
      <c r="O539" s="40"/>
      <c r="P539" s="40"/>
      <c r="Q539" s="40"/>
      <c r="R539" s="40"/>
      <c r="S539" s="40"/>
      <c r="T539" s="40"/>
      <c r="U539" s="40"/>
      <c r="V539" s="40"/>
      <c r="W539" s="40"/>
      <c r="X539" s="40"/>
      <c r="Y539" s="40"/>
      <c r="Z539" s="40"/>
      <c r="AA539" s="40"/>
      <c r="AB539" s="40"/>
      <c r="AC539" s="1408" t="s">
        <v>826</v>
      </c>
      <c r="AD539" s="1409"/>
      <c r="AE539" s="1409"/>
      <c r="AF539" s="1409"/>
      <c r="AG539" s="30" t="s">
        <v>1352</v>
      </c>
      <c r="AH539" s="1268"/>
      <c r="AI539" s="1268"/>
      <c r="AJ539" s="1268"/>
      <c r="AK539" s="1269"/>
      <c r="AZ539" s="3"/>
      <c r="BA539" s="3"/>
      <c r="BB539" s="3"/>
      <c r="BC539" s="3"/>
      <c r="BD539" s="3"/>
      <c r="BE539" s="3"/>
      <c r="BF539" s="3"/>
      <c r="BG539" s="3"/>
      <c r="BH539" s="3"/>
      <c r="BI539" s="3"/>
      <c r="BJ539" s="3"/>
      <c r="BK539" s="3"/>
      <c r="BL539" s="3"/>
      <c r="BM539" s="3"/>
      <c r="BN539" s="3" t="s">
        <v>1396</v>
      </c>
    </row>
    <row r="540" spans="2:66" ht="12.95" customHeight="1">
      <c r="B540" s="1369"/>
      <c r="C540" s="1370"/>
      <c r="D540" s="1370"/>
      <c r="E540" s="1370"/>
      <c r="F540" s="1370"/>
      <c r="G540" s="1370"/>
      <c r="H540" s="1371"/>
      <c r="I540" s="34" t="s">
        <v>1386</v>
      </c>
      <c r="J540" s="34"/>
      <c r="K540" s="34"/>
      <c r="L540" s="34"/>
      <c r="M540" s="34"/>
      <c r="N540" s="34"/>
      <c r="O540" s="1635" t="s">
        <v>1282</v>
      </c>
      <c r="P540" s="1636"/>
      <c r="Q540" s="1636"/>
      <c r="R540" s="1636"/>
      <c r="S540" s="1636"/>
      <c r="T540" s="1636"/>
      <c r="U540" s="1636"/>
      <c r="V540" s="1636"/>
      <c r="W540" s="1636"/>
      <c r="X540" s="1636"/>
      <c r="Y540" s="1636"/>
      <c r="Z540" s="1636"/>
      <c r="AA540" s="1636"/>
      <c r="AC540" s="1408" t="s">
        <v>826</v>
      </c>
      <c r="AD540" s="1409"/>
      <c r="AE540" s="1409"/>
      <c r="AF540" s="1409"/>
      <c r="AG540" s="12" t="s">
        <v>1352</v>
      </c>
      <c r="AH540" s="1268"/>
      <c r="AI540" s="1268"/>
      <c r="AJ540" s="1268"/>
      <c r="AK540" s="1269"/>
      <c r="AZ540" s="3"/>
      <c r="BA540" s="3"/>
      <c r="BB540" s="3"/>
      <c r="BC540" s="3"/>
      <c r="BD540" s="3"/>
      <c r="BE540" s="3"/>
      <c r="BF540" s="3"/>
      <c r="BG540" s="3"/>
      <c r="BH540" s="3"/>
      <c r="BI540" s="3"/>
      <c r="BJ540" s="3"/>
      <c r="BK540" s="3"/>
      <c r="BL540" s="3"/>
      <c r="BM540" s="3"/>
      <c r="BN540" s="3" t="s">
        <v>1397</v>
      </c>
    </row>
    <row r="541" spans="2:66" ht="12.95" customHeight="1">
      <c r="B541" s="1369"/>
      <c r="C541" s="1370"/>
      <c r="D541" s="1370"/>
      <c r="E541" s="1370"/>
      <c r="F541" s="1370"/>
      <c r="G541" s="1370"/>
      <c r="H541" s="1371"/>
      <c r="I541" t="s">
        <v>44</v>
      </c>
      <c r="AC541" s="1408" t="s">
        <v>826</v>
      </c>
      <c r="AD541" s="1409"/>
      <c r="AE541" s="1409"/>
      <c r="AF541" s="1409"/>
      <c r="AG541" s="30" t="s">
        <v>1352</v>
      </c>
      <c r="AH541" s="1268"/>
      <c r="AI541" s="1268"/>
      <c r="AJ541" s="1268"/>
      <c r="AK541" s="1269"/>
      <c r="AZ541" s="3"/>
      <c r="BA541" s="3"/>
      <c r="BB541" s="3"/>
      <c r="BC541" s="3"/>
      <c r="BD541" s="3"/>
      <c r="BE541" s="3"/>
      <c r="BF541" s="3"/>
      <c r="BG541" s="3"/>
      <c r="BH541" s="3"/>
      <c r="BI541" s="3"/>
      <c r="BJ541" s="3"/>
      <c r="BK541" s="3"/>
      <c r="BL541" s="3"/>
      <c r="BM541" s="3"/>
      <c r="BN541" s="3" t="s">
        <v>1398</v>
      </c>
    </row>
    <row r="542" spans="2:66" ht="12.95" customHeight="1">
      <c r="B542" s="1369"/>
      <c r="C542" s="1370"/>
      <c r="D542" s="1370"/>
      <c r="E542" s="1370"/>
      <c r="F542" s="1370"/>
      <c r="G542" s="1370"/>
      <c r="H542" s="1371"/>
      <c r="I542" s="40" t="s">
        <v>1384</v>
      </c>
      <c r="J542" s="40"/>
      <c r="K542" s="40"/>
      <c r="L542" s="40"/>
      <c r="M542" s="40"/>
      <c r="N542" s="40"/>
      <c r="O542" s="40"/>
      <c r="P542" s="40"/>
      <c r="Q542" s="40"/>
      <c r="R542" s="40"/>
      <c r="S542" s="40"/>
      <c r="T542" s="40"/>
      <c r="U542" s="40"/>
      <c r="V542" s="40"/>
      <c r="W542" s="40"/>
      <c r="X542" s="40"/>
      <c r="Y542" s="40"/>
      <c r="Z542" s="40"/>
      <c r="AA542" s="40"/>
      <c r="AB542" s="40"/>
      <c r="AC542" s="1408" t="s">
        <v>826</v>
      </c>
      <c r="AD542" s="1409"/>
      <c r="AE542" s="1409"/>
      <c r="AF542" s="1409"/>
      <c r="AG542" s="12" t="s">
        <v>1352</v>
      </c>
      <c r="AH542" s="1268"/>
      <c r="AI542" s="1268"/>
      <c r="AJ542" s="1268"/>
      <c r="AK542" s="1269"/>
      <c r="AZ542" s="3"/>
      <c r="BA542" s="3"/>
      <c r="BB542" s="3"/>
      <c r="BC542" s="3"/>
      <c r="BD542" s="3"/>
      <c r="BE542" s="3"/>
      <c r="BF542" s="3"/>
      <c r="BG542" s="3"/>
      <c r="BH542" s="3"/>
      <c r="BI542" s="3"/>
      <c r="BJ542" s="3"/>
      <c r="BK542" s="3"/>
      <c r="BL542" s="3"/>
      <c r="BM542" s="3"/>
      <c r="BN542" s="3" t="s">
        <v>1399</v>
      </c>
    </row>
    <row r="543" spans="2:66" ht="12.95" customHeight="1">
      <c r="B543" s="1369"/>
      <c r="C543" s="1370"/>
      <c r="D543" s="1370"/>
      <c r="E543" s="1370"/>
      <c r="F543" s="1370"/>
      <c r="G543" s="1370"/>
      <c r="H543" s="1371"/>
      <c r="I543" s="34" t="s">
        <v>1386</v>
      </c>
      <c r="J543" s="34"/>
      <c r="K543" s="34"/>
      <c r="L543" s="34"/>
      <c r="M543" s="34"/>
      <c r="N543" s="34"/>
      <c r="O543" s="1635" t="s">
        <v>1282</v>
      </c>
      <c r="P543" s="1636"/>
      <c r="Q543" s="1636"/>
      <c r="R543" s="1636"/>
      <c r="S543" s="1636"/>
      <c r="T543" s="1636"/>
      <c r="U543" s="1636"/>
      <c r="V543" s="1636"/>
      <c r="W543" s="1636"/>
      <c r="X543" s="1636"/>
      <c r="Y543" s="1636"/>
      <c r="Z543" s="1636"/>
      <c r="AA543" s="1636"/>
      <c r="AC543" s="1408" t="s">
        <v>826</v>
      </c>
      <c r="AD543" s="1409"/>
      <c r="AE543" s="1409"/>
      <c r="AF543" s="1409"/>
      <c r="AG543" s="30" t="s">
        <v>1352</v>
      </c>
      <c r="AH543" s="1268"/>
      <c r="AI543" s="1268"/>
      <c r="AJ543" s="1268"/>
      <c r="AK543" s="1269"/>
      <c r="AZ543" s="3"/>
      <c r="BA543" s="3"/>
      <c r="BB543" s="3"/>
      <c r="BC543" s="3"/>
      <c r="BD543" s="3"/>
      <c r="BE543" s="3"/>
      <c r="BF543" s="3"/>
      <c r="BG543" s="3"/>
      <c r="BH543" s="3"/>
      <c r="BI543" s="3"/>
      <c r="BJ543" s="3"/>
      <c r="BK543" s="3"/>
      <c r="BL543" s="3"/>
      <c r="BM543" s="3"/>
      <c r="BN543" s="3" t="s">
        <v>1400</v>
      </c>
    </row>
    <row r="544" spans="2:66" ht="12.95" customHeight="1">
      <c r="B544" s="1369"/>
      <c r="C544" s="1370"/>
      <c r="D544" s="1370"/>
      <c r="E544" s="1370"/>
      <c r="F544" s="1370"/>
      <c r="G544" s="1370"/>
      <c r="H544" s="1371"/>
      <c r="I544" t="s">
        <v>44</v>
      </c>
      <c r="AC544" s="1408" t="s">
        <v>826</v>
      </c>
      <c r="AD544" s="1409"/>
      <c r="AE544" s="1409"/>
      <c r="AF544" s="1409"/>
      <c r="AG544" s="12" t="s">
        <v>1352</v>
      </c>
      <c r="AH544" s="1268"/>
      <c r="AI544" s="1268"/>
      <c r="AJ544" s="1268"/>
      <c r="AK544" s="1269"/>
      <c r="AZ544" s="3"/>
      <c r="BA544" s="3"/>
      <c r="BB544" s="3"/>
      <c r="BC544" s="3"/>
      <c r="BD544" s="3"/>
      <c r="BE544" s="3"/>
      <c r="BF544" s="3"/>
      <c r="BG544" s="3"/>
      <c r="BH544" s="3"/>
      <c r="BI544" s="3"/>
      <c r="BJ544" s="3"/>
      <c r="BK544" s="3"/>
      <c r="BL544" s="3"/>
      <c r="BM544" s="3"/>
      <c r="BN544" s="3" t="s">
        <v>1401</v>
      </c>
    </row>
    <row r="545" spans="1:66" ht="12.95" customHeight="1">
      <c r="B545" s="1369"/>
      <c r="C545" s="1370"/>
      <c r="D545" s="1370"/>
      <c r="E545" s="1370"/>
      <c r="F545" s="1370"/>
      <c r="G545" s="1370"/>
      <c r="H545" s="1371"/>
      <c r="I545" s="40" t="s">
        <v>1384</v>
      </c>
      <c r="J545" s="40"/>
      <c r="K545" s="40"/>
      <c r="L545" s="40"/>
      <c r="M545" s="40"/>
      <c r="N545" s="40"/>
      <c r="O545" s="40"/>
      <c r="P545" s="40"/>
      <c r="Q545" s="40"/>
      <c r="R545" s="40"/>
      <c r="S545" s="40"/>
      <c r="T545" s="40"/>
      <c r="U545" s="40"/>
      <c r="V545" s="40"/>
      <c r="W545" s="40"/>
      <c r="X545" s="40"/>
      <c r="Y545" s="40"/>
      <c r="Z545" s="40"/>
      <c r="AA545" s="40"/>
      <c r="AB545" s="40"/>
      <c r="AC545" s="1408" t="s">
        <v>826</v>
      </c>
      <c r="AD545" s="1409"/>
      <c r="AE545" s="1409"/>
      <c r="AF545" s="1409"/>
      <c r="AG545" s="30" t="s">
        <v>1352</v>
      </c>
      <c r="AH545" s="1268"/>
      <c r="AI545" s="1268"/>
      <c r="AJ545" s="1268"/>
      <c r="AK545" s="1269"/>
      <c r="AZ545" s="3"/>
      <c r="BA545" s="3"/>
      <c r="BB545" s="3"/>
      <c r="BC545" s="3"/>
      <c r="BD545" s="3"/>
      <c r="BE545" s="3"/>
      <c r="BF545" s="3"/>
      <c r="BG545" s="3"/>
      <c r="BH545" s="3"/>
      <c r="BI545" s="3"/>
      <c r="BJ545" s="3"/>
      <c r="BK545" s="3"/>
      <c r="BL545" s="3"/>
      <c r="BM545" s="3"/>
      <c r="BN545" s="3" t="s">
        <v>1402</v>
      </c>
    </row>
    <row r="546" spans="1:66" ht="12.95" customHeight="1">
      <c r="B546" s="1369"/>
      <c r="C546" s="1370"/>
      <c r="D546" s="1370"/>
      <c r="E546" s="1370"/>
      <c r="F546" s="1370"/>
      <c r="G546" s="1370"/>
      <c r="H546" s="1371"/>
      <c r="I546" s="34" t="s">
        <v>1403</v>
      </c>
      <c r="J546" s="34"/>
      <c r="K546" s="34"/>
      <c r="L546" s="34"/>
      <c r="M546" s="34"/>
      <c r="N546" s="34"/>
      <c r="O546" s="34"/>
      <c r="P546" s="34"/>
      <c r="Q546" s="34"/>
      <c r="R546" s="34"/>
      <c r="S546" s="34"/>
      <c r="T546" s="34"/>
      <c r="U546" s="34"/>
      <c r="V546" s="34"/>
      <c r="W546" s="34"/>
      <c r="AC546" s="1408">
        <v>3</v>
      </c>
      <c r="AD546" s="1409"/>
      <c r="AE546" s="1409"/>
      <c r="AF546" s="1409"/>
      <c r="AG546" s="30" t="s">
        <v>1352</v>
      </c>
      <c r="AH546" s="1268">
        <v>2027</v>
      </c>
      <c r="AI546" s="1268"/>
      <c r="AJ546" s="1268"/>
      <c r="AK546" s="1269"/>
      <c r="AZ546" s="3"/>
      <c r="BA546" s="3"/>
      <c r="BB546" s="3"/>
      <c r="BC546" s="3"/>
      <c r="BD546" s="3"/>
      <c r="BE546" s="3"/>
      <c r="BF546" s="3"/>
      <c r="BG546" s="3"/>
      <c r="BH546" s="3"/>
      <c r="BI546" s="3"/>
      <c r="BJ546" s="3"/>
      <c r="BK546" s="3"/>
      <c r="BL546" s="3"/>
      <c r="BM546" s="3"/>
      <c r="BN546" s="3"/>
    </row>
    <row r="547" spans="1:66" ht="12.95" customHeight="1">
      <c r="B547" s="1369"/>
      <c r="C547" s="1370"/>
      <c r="D547" s="1370"/>
      <c r="E547" s="1370"/>
      <c r="F547" s="1370"/>
      <c r="G547" s="1370"/>
      <c r="H547" s="1371"/>
      <c r="I547" t="s">
        <v>1404</v>
      </c>
      <c r="AC547" s="1408">
        <v>2</v>
      </c>
      <c r="AD547" s="1409"/>
      <c r="AE547" s="1409"/>
      <c r="AF547" s="1409"/>
      <c r="AG547" s="12" t="s">
        <v>1352</v>
      </c>
      <c r="AH547" s="1268">
        <v>2027</v>
      </c>
      <c r="AI547" s="1268"/>
      <c r="AJ547" s="1268"/>
      <c r="AK547" s="1269"/>
      <c r="AZ547" s="3"/>
      <c r="BA547" s="3"/>
      <c r="BB547" s="3"/>
      <c r="BC547" s="3"/>
      <c r="BD547" s="3"/>
      <c r="BE547" s="3"/>
      <c r="BF547" s="3"/>
      <c r="BG547" s="3"/>
      <c r="BH547" s="3"/>
      <c r="BI547" s="3"/>
      <c r="BJ547" s="3"/>
      <c r="BK547" s="3"/>
      <c r="BL547" s="3"/>
      <c r="BM547" s="3"/>
      <c r="BN547" s="3"/>
    </row>
    <row r="548" spans="1:66" ht="12.95" customHeight="1">
      <c r="B548" s="1369"/>
      <c r="C548" s="1370"/>
      <c r="D548" s="1370"/>
      <c r="E548" s="1370"/>
      <c r="F548" s="1370"/>
      <c r="G548" s="1370"/>
      <c r="H548" s="1371"/>
      <c r="I548" t="s">
        <v>1405</v>
      </c>
      <c r="AC548" s="1408">
        <v>2</v>
      </c>
      <c r="AD548" s="1409"/>
      <c r="AE548" s="1409"/>
      <c r="AF548" s="1409"/>
      <c r="AG548" s="30" t="s">
        <v>1352</v>
      </c>
      <c r="AH548" s="1268">
        <v>2029</v>
      </c>
      <c r="AI548" s="1268"/>
      <c r="AJ548" s="1268"/>
      <c r="AK548" s="1269"/>
      <c r="AZ548" s="3"/>
      <c r="BA548" s="3"/>
      <c r="BB548" s="3"/>
      <c r="BC548" s="3"/>
      <c r="BD548" s="3"/>
      <c r="BE548" s="3"/>
      <c r="BF548" s="3"/>
      <c r="BG548" s="3"/>
      <c r="BH548" s="3"/>
      <c r="BI548" s="3"/>
      <c r="BJ548" s="3"/>
      <c r="BK548" s="3"/>
      <c r="BL548" s="3"/>
      <c r="BM548" s="3"/>
      <c r="BN548" s="3"/>
    </row>
    <row r="549" spans="1:66" ht="12.95" customHeight="1">
      <c r="B549" s="1369"/>
      <c r="C549" s="1370"/>
      <c r="D549" s="1370"/>
      <c r="E549" s="1370"/>
      <c r="F549" s="1370"/>
      <c r="G549" s="1370"/>
      <c r="H549" s="1371"/>
      <c r="I549" t="s">
        <v>1406</v>
      </c>
      <c r="AC549" s="1408">
        <v>11</v>
      </c>
      <c r="AD549" s="1409"/>
      <c r="AE549" s="1409"/>
      <c r="AF549" s="1409"/>
      <c r="AG549" s="30" t="s">
        <v>1352</v>
      </c>
      <c r="AH549" s="1268">
        <v>2029</v>
      </c>
      <c r="AI549" s="1268"/>
      <c r="AJ549" s="1268"/>
      <c r="AK549" s="1269"/>
      <c r="AZ549" s="3"/>
      <c r="BA549" s="3"/>
      <c r="BB549" s="3"/>
      <c r="BC549" s="3"/>
      <c r="BD549" s="3"/>
      <c r="BE549" s="3"/>
      <c r="BF549" s="3"/>
      <c r="BG549" s="3"/>
      <c r="BH549" s="3"/>
      <c r="BI549" s="3"/>
      <c r="BJ549" s="3"/>
      <c r="BK549" s="3"/>
      <c r="BL549" s="3"/>
      <c r="BM549" s="3"/>
      <c r="BN549" s="3"/>
    </row>
    <row r="550" spans="1:66" ht="12.95" customHeight="1">
      <c r="B550" s="1372"/>
      <c r="C550" s="1373"/>
      <c r="D550" s="1373"/>
      <c r="E550" s="1373"/>
      <c r="F550" s="1373"/>
      <c r="G550" s="1373"/>
      <c r="H550" s="1374"/>
      <c r="I550" s="40" t="s">
        <v>1407</v>
      </c>
      <c r="J550" s="40"/>
      <c r="K550" s="40"/>
      <c r="L550" s="40"/>
      <c r="M550" s="40"/>
      <c r="N550" s="40"/>
      <c r="O550" s="40"/>
      <c r="P550" s="40"/>
      <c r="Q550" s="40"/>
      <c r="R550" s="40"/>
      <c r="S550" s="40"/>
      <c r="T550" s="40"/>
      <c r="U550" s="40"/>
      <c r="V550" s="40"/>
      <c r="W550" s="40"/>
      <c r="X550" s="40"/>
      <c r="Y550" s="40"/>
      <c r="Z550" s="40"/>
      <c r="AA550" s="40"/>
      <c r="AB550" s="40"/>
      <c r="AC550" s="1408">
        <v>5</v>
      </c>
      <c r="AD550" s="1409"/>
      <c r="AE550" s="1409"/>
      <c r="AF550" s="1409"/>
      <c r="AG550" s="30" t="s">
        <v>1352</v>
      </c>
      <c r="AH550" s="1268">
        <v>2029</v>
      </c>
      <c r="AI550" s="1268"/>
      <c r="AJ550" s="1268"/>
      <c r="AK550" s="1269"/>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301" t="s">
        <v>1408</v>
      </c>
      <c r="B552" s="1301"/>
      <c r="C552" s="1301"/>
      <c r="D552" s="1301"/>
      <c r="E552" s="1301"/>
      <c r="F552" s="1301"/>
      <c r="G552" s="1301"/>
      <c r="H552" s="1301"/>
      <c r="I552" s="1301"/>
      <c r="J552" s="1301"/>
      <c r="K552" s="1301"/>
      <c r="L552" s="1301"/>
      <c r="M552" s="1301"/>
      <c r="N552" s="1301"/>
      <c r="O552" s="1301"/>
      <c r="P552" s="1301"/>
      <c r="Q552" s="1301"/>
      <c r="R552" s="1301"/>
      <c r="S552" s="1301"/>
      <c r="T552" s="1301"/>
      <c r="U552" s="1301"/>
      <c r="V552" s="1301"/>
      <c r="W552" s="1301"/>
      <c r="X552" s="1301"/>
      <c r="Y552" s="1301"/>
      <c r="Z552" s="1301"/>
      <c r="AA552" s="1301"/>
      <c r="AB552" s="1301"/>
      <c r="AC552" s="1301"/>
      <c r="AD552" s="1301"/>
      <c r="AE552" s="1301"/>
      <c r="AF552" s="1301"/>
      <c r="AG552" s="1301"/>
      <c r="AH552" s="1301"/>
      <c r="AI552" s="1301"/>
      <c r="AJ552" s="1301"/>
      <c r="AK552" s="1301"/>
      <c r="AL552" s="1301"/>
      <c r="AM552" s="1301"/>
      <c r="AN552" s="1301"/>
      <c r="AO552" s="1301"/>
      <c r="AP552" s="1301"/>
      <c r="AQ552" s="1301"/>
      <c r="AR552" s="1301"/>
      <c r="AS552" s="1301"/>
      <c r="AT552" s="1301"/>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301"/>
      <c r="B553" s="1301"/>
      <c r="C553" s="1301"/>
      <c r="D553" s="1301"/>
      <c r="E553" s="1301"/>
      <c r="F553" s="1301"/>
      <c r="G553" s="1301"/>
      <c r="H553" s="1301"/>
      <c r="I553" s="1301"/>
      <c r="J553" s="1301"/>
      <c r="K553" s="1301"/>
      <c r="L553" s="1301"/>
      <c r="M553" s="1301"/>
      <c r="N553" s="1301"/>
      <c r="O553" s="1301"/>
      <c r="P553" s="1301"/>
      <c r="Q553" s="1301"/>
      <c r="R553" s="1301"/>
      <c r="S553" s="1301"/>
      <c r="T553" s="1301"/>
      <c r="U553" s="1301"/>
      <c r="V553" s="1301"/>
      <c r="W553" s="1301"/>
      <c r="X553" s="1301"/>
      <c r="Y553" s="1301"/>
      <c r="Z553" s="1301"/>
      <c r="AA553" s="1301"/>
      <c r="AB553" s="1301"/>
      <c r="AC553" s="1301"/>
      <c r="AD553" s="1301"/>
      <c r="AE553" s="1301"/>
      <c r="AF553" s="1301"/>
      <c r="AG553" s="1301"/>
      <c r="AH553" s="1301"/>
      <c r="AI553" s="1301"/>
      <c r="AJ553" s="1301"/>
      <c r="AK553" s="1301"/>
      <c r="AL553" s="1301"/>
      <c r="AM553" s="1301"/>
      <c r="AN553" s="1301"/>
      <c r="AO553" s="1301"/>
      <c r="AP553" s="1301"/>
      <c r="AQ553" s="1301"/>
      <c r="AR553" s="1301"/>
      <c r="AS553" s="1301"/>
      <c r="AT553" s="130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887</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1409</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66" t="s">
        <v>1410</v>
      </c>
      <c r="C559" s="1367"/>
      <c r="D559" s="1367"/>
      <c r="E559" s="1367"/>
      <c r="F559" s="1367"/>
      <c r="G559" s="1367"/>
      <c r="H559" s="1367"/>
      <c r="I559" s="1367"/>
      <c r="J559" s="1367"/>
      <c r="K559" s="1367"/>
      <c r="L559" s="1368"/>
      <c r="M559" s="1366" t="s">
        <v>1411</v>
      </c>
      <c r="N559" s="1367"/>
      <c r="O559" s="1367"/>
      <c r="P559" s="1368"/>
      <c r="Q559" s="1366" t="s">
        <v>1412</v>
      </c>
      <c r="R559" s="1367"/>
      <c r="S559" s="1368"/>
      <c r="T559" s="1366" t="s">
        <v>1413</v>
      </c>
      <c r="U559" s="1367"/>
      <c r="V559" s="1368"/>
      <c r="W559" s="1366" t="s">
        <v>1414</v>
      </c>
      <c r="X559" s="1367"/>
      <c r="Y559" s="1368"/>
      <c r="Z559" s="1366" t="s">
        <v>1415</v>
      </c>
      <c r="AA559" s="1367"/>
      <c r="AB559" s="1367"/>
      <c r="AC559" s="1367"/>
      <c r="AD559" s="1368"/>
      <c r="AE559" s="1366" t="s">
        <v>1416</v>
      </c>
      <c r="AF559" s="1367"/>
      <c r="AG559" s="1367"/>
      <c r="AH559" s="1368"/>
      <c r="AI559" s="1366" t="s">
        <v>1417</v>
      </c>
      <c r="AJ559" s="1367"/>
      <c r="AK559" s="1367"/>
      <c r="AL559" s="1368"/>
      <c r="AM559" s="1366" t="s">
        <v>1418</v>
      </c>
      <c r="AN559" s="1367"/>
      <c r="AO559" s="1367"/>
      <c r="AP559" s="1367"/>
      <c r="AQ559" s="1367"/>
      <c r="AR559" s="1367"/>
      <c r="AS559" s="1368"/>
      <c r="BB559" s="3"/>
      <c r="BC559" s="3"/>
      <c r="BD559" s="3"/>
      <c r="BE559" s="3"/>
      <c r="BF559" s="3"/>
      <c r="BG559" s="3"/>
      <c r="BH559" s="3" t="s">
        <v>82</v>
      </c>
      <c r="BI559" s="3" t="str">
        <f>AG665</f>
        <v>Yes</v>
      </c>
    </row>
    <row r="560" spans="1:66" ht="12.95" customHeight="1">
      <c r="B560" s="1369"/>
      <c r="C560" s="1370"/>
      <c r="D560" s="1370"/>
      <c r="E560" s="1370"/>
      <c r="F560" s="1370"/>
      <c r="G560" s="1370"/>
      <c r="H560" s="1370"/>
      <c r="I560" s="1370"/>
      <c r="J560" s="1370"/>
      <c r="K560" s="1370"/>
      <c r="L560" s="1371"/>
      <c r="M560" s="1369"/>
      <c r="N560" s="1370"/>
      <c r="O560" s="1370"/>
      <c r="P560" s="1371"/>
      <c r="Q560" s="1369"/>
      <c r="R560" s="1370"/>
      <c r="S560" s="1371"/>
      <c r="T560" s="1369"/>
      <c r="U560" s="1370"/>
      <c r="V560" s="1371"/>
      <c r="W560" s="1369"/>
      <c r="X560" s="1370"/>
      <c r="Y560" s="1371"/>
      <c r="Z560" s="1369"/>
      <c r="AA560" s="1370"/>
      <c r="AB560" s="1370"/>
      <c r="AC560" s="1370"/>
      <c r="AD560" s="1371"/>
      <c r="AE560" s="1369"/>
      <c r="AF560" s="1370"/>
      <c r="AG560" s="1370"/>
      <c r="AH560" s="1371"/>
      <c r="AI560" s="1369"/>
      <c r="AJ560" s="1370"/>
      <c r="AK560" s="1370"/>
      <c r="AL560" s="1371"/>
      <c r="AM560" s="1369"/>
      <c r="AN560" s="1370"/>
      <c r="AO560" s="1370"/>
      <c r="AP560" s="1370"/>
      <c r="AQ560" s="1370"/>
      <c r="AR560" s="1370"/>
      <c r="AS560" s="1371"/>
      <c r="AU560" s="1030"/>
      <c r="BB560" s="3"/>
      <c r="BC560" s="3"/>
      <c r="BD560" s="3"/>
      <c r="BE560" s="3"/>
      <c r="BF560" s="3"/>
      <c r="BG560" s="3"/>
      <c r="BH560" s="3"/>
      <c r="BI560" s="3"/>
    </row>
    <row r="561" spans="1:61" ht="12.95" customHeight="1">
      <c r="B561" s="1372"/>
      <c r="C561" s="1373"/>
      <c r="D561" s="1373"/>
      <c r="E561" s="1373"/>
      <c r="F561" s="1373"/>
      <c r="G561" s="1373"/>
      <c r="H561" s="1373"/>
      <c r="I561" s="1373"/>
      <c r="J561" s="1373"/>
      <c r="K561" s="1373"/>
      <c r="L561" s="1374"/>
      <c r="M561" s="1372"/>
      <c r="N561" s="1373"/>
      <c r="O561" s="1373"/>
      <c r="P561" s="1374"/>
      <c r="Q561" s="1372"/>
      <c r="R561" s="1373"/>
      <c r="S561" s="1374"/>
      <c r="T561" s="1372"/>
      <c r="U561" s="1373"/>
      <c r="V561" s="1374"/>
      <c r="W561" s="1372"/>
      <c r="X561" s="1373"/>
      <c r="Y561" s="1374"/>
      <c r="Z561" s="1372"/>
      <c r="AA561" s="1373"/>
      <c r="AB561" s="1373"/>
      <c r="AC561" s="1373"/>
      <c r="AD561" s="1374"/>
      <c r="AE561" s="1372"/>
      <c r="AF561" s="1373"/>
      <c r="AG561" s="1373"/>
      <c r="AH561" s="1374"/>
      <c r="AI561" s="1372"/>
      <c r="AJ561" s="1373"/>
      <c r="AK561" s="1373"/>
      <c r="AL561" s="1374"/>
      <c r="AM561" s="1372"/>
      <c r="AN561" s="1373"/>
      <c r="AO561" s="1373"/>
      <c r="AP561" s="1373"/>
      <c r="AQ561" s="1373"/>
      <c r="AR561" s="1373"/>
      <c r="AS561" s="1374"/>
      <c r="AU561" s="1030"/>
      <c r="BB561" s="3"/>
      <c r="BC561" s="3"/>
      <c r="BD561" s="3"/>
      <c r="BE561" s="3"/>
      <c r="BF561" s="3"/>
      <c r="BG561" s="3"/>
      <c r="BH561" s="3"/>
      <c r="BI561" s="3"/>
    </row>
    <row r="562" spans="1:61" ht="12.95" customHeight="1">
      <c r="B562" s="43" t="s">
        <v>18</v>
      </c>
      <c r="C562" s="1345" t="s">
        <v>1419</v>
      </c>
      <c r="D562" s="1345"/>
      <c r="E562" s="1345"/>
      <c r="F562" s="1345"/>
      <c r="G562" s="1345"/>
      <c r="H562" s="1345"/>
      <c r="I562" s="1345"/>
      <c r="J562" s="1345"/>
      <c r="K562" s="1345"/>
      <c r="L562" s="1345"/>
      <c r="M562" s="1345" t="s">
        <v>1393</v>
      </c>
      <c r="N562" s="1345"/>
      <c r="O562" s="1345"/>
      <c r="P562" s="1345"/>
      <c r="Q562" s="1397">
        <v>30</v>
      </c>
      <c r="R562" s="1397"/>
      <c r="S562" s="1398"/>
      <c r="T562" s="1396"/>
      <c r="U562" s="1397"/>
      <c r="V562" s="1398"/>
      <c r="W562" s="1382">
        <f>'[2]4%main spreadsheet'!$CB$18</f>
        <v>5.4500000000000007E-2</v>
      </c>
      <c r="X562" s="1383"/>
      <c r="Y562" s="1384"/>
      <c r="Z562" s="1575" t="s">
        <v>1420</v>
      </c>
      <c r="AA562" s="1575"/>
      <c r="AB562" s="1575"/>
      <c r="AC562" s="1575"/>
      <c r="AD562" s="1575"/>
      <c r="AE562" s="1375">
        <v>1</v>
      </c>
      <c r="AF562" s="1376"/>
      <c r="AG562" s="1376"/>
      <c r="AH562" s="1377"/>
      <c r="AI562" s="1393"/>
      <c r="AJ562" s="1394"/>
      <c r="AK562" s="1394"/>
      <c r="AL562" s="1395"/>
      <c r="AM562" s="1351">
        <f>'[2]4%main spreadsheet'!$BW$18</f>
        <v>21332341.365621213</v>
      </c>
      <c r="AN562" s="1352"/>
      <c r="AO562" s="1352"/>
      <c r="AP562" s="1352"/>
      <c r="AQ562" s="1352"/>
      <c r="AR562" s="1352"/>
      <c r="AS562" s="1353"/>
      <c r="AT562" s="1031"/>
      <c r="AU562" s="1030"/>
      <c r="BB562" s="3"/>
      <c r="BC562" s="3"/>
      <c r="BD562" s="3"/>
      <c r="BE562" s="3"/>
      <c r="BF562" s="3"/>
      <c r="BG562" s="3"/>
      <c r="BH562" s="3"/>
      <c r="BI562" s="3"/>
    </row>
    <row r="563" spans="1:61" ht="12.95" customHeight="1">
      <c r="B563" s="44" t="s">
        <v>31</v>
      </c>
      <c r="C563" s="1381" t="s">
        <v>1421</v>
      </c>
      <c r="D563" s="1381"/>
      <c r="E563" s="1381"/>
      <c r="F563" s="1381"/>
      <c r="G563" s="1381"/>
      <c r="H563" s="1381"/>
      <c r="I563" s="1381"/>
      <c r="J563" s="1381"/>
      <c r="K563" s="1381"/>
      <c r="L563" s="1381"/>
      <c r="M563" s="1345" t="s">
        <v>1392</v>
      </c>
      <c r="N563" s="1345"/>
      <c r="O563" s="1345"/>
      <c r="P563" s="1345"/>
      <c r="Q563" s="1396">
        <v>30</v>
      </c>
      <c r="R563" s="1397"/>
      <c r="S563" s="1398"/>
      <c r="T563" s="1396"/>
      <c r="U563" s="1397"/>
      <c r="V563" s="1398"/>
      <c r="W563" s="1382">
        <f>'[2]4%main spreadsheet'!$CB$19</f>
        <v>5.9500000000000004E-2</v>
      </c>
      <c r="X563" s="1383"/>
      <c r="Y563" s="1384"/>
      <c r="Z563" s="1575" t="s">
        <v>1420</v>
      </c>
      <c r="AA563" s="1575"/>
      <c r="AB563" s="1575"/>
      <c r="AC563" s="1575"/>
      <c r="AD563" s="1575"/>
      <c r="AE563" s="1375">
        <v>2</v>
      </c>
      <c r="AF563" s="1376"/>
      <c r="AG563" s="1376"/>
      <c r="AH563" s="1377"/>
      <c r="AI563" s="1393"/>
      <c r="AJ563" s="1394"/>
      <c r="AK563" s="1394"/>
      <c r="AL563" s="1395"/>
      <c r="AM563" s="1351">
        <f>'[2]4%main spreadsheet'!$BW$19</f>
        <v>42529416.415510535</v>
      </c>
      <c r="AN563" s="1352"/>
      <c r="AO563" s="1352"/>
      <c r="AP563" s="1352"/>
      <c r="AQ563" s="1352"/>
      <c r="AR563" s="1352"/>
      <c r="AS563" s="1353"/>
      <c r="AT563" s="1031" t="str">
        <f>IF(AND(NOT(C562=""),C563="",NOT(C564="")),"!","")</f>
        <v/>
      </c>
      <c r="AU563" s="1030"/>
      <c r="BB563" s="3"/>
      <c r="BC563" s="3"/>
      <c r="BD563" s="3"/>
      <c r="BE563" s="3"/>
      <c r="BF563" s="3"/>
      <c r="BG563" s="3"/>
      <c r="BH563" s="3"/>
      <c r="BI563" s="3"/>
    </row>
    <row r="564" spans="1:61" ht="12.95" customHeight="1">
      <c r="B564" s="44" t="s">
        <v>39</v>
      </c>
      <c r="C564" s="1381" t="s">
        <v>1422</v>
      </c>
      <c r="D564" s="1381"/>
      <c r="E564" s="1381"/>
      <c r="F564" s="1381"/>
      <c r="G564" s="1381"/>
      <c r="H564" s="1381"/>
      <c r="I564" s="1381"/>
      <c r="J564" s="1381"/>
      <c r="K564" s="1381"/>
      <c r="L564" s="1381"/>
      <c r="M564" s="1345" t="s">
        <v>1389</v>
      </c>
      <c r="N564" s="1345"/>
      <c r="O564" s="1345"/>
      <c r="P564" s="1345"/>
      <c r="Q564" s="1396">
        <f>55*12</f>
        <v>660</v>
      </c>
      <c r="R564" s="1397"/>
      <c r="S564" s="1398"/>
      <c r="T564" s="1396"/>
      <c r="U564" s="1397"/>
      <c r="V564" s="1398"/>
      <c r="W564" s="1382">
        <v>0.03</v>
      </c>
      <c r="X564" s="1383"/>
      <c r="Y564" s="1384"/>
      <c r="Z564" s="1575" t="s">
        <v>1423</v>
      </c>
      <c r="AA564" s="1575"/>
      <c r="AB564" s="1575"/>
      <c r="AC564" s="1575"/>
      <c r="AD564" s="1575"/>
      <c r="AE564" s="1375">
        <v>3</v>
      </c>
      <c r="AF564" s="1376"/>
      <c r="AG564" s="1376"/>
      <c r="AH564" s="1377"/>
      <c r="AI564" s="1393"/>
      <c r="AJ564" s="1394"/>
      <c r="AK564" s="1394"/>
      <c r="AL564" s="1395"/>
      <c r="AM564" s="1351">
        <f>'[2]4%main spreadsheet'!$BW$6</f>
        <v>9832515</v>
      </c>
      <c r="AN564" s="1352"/>
      <c r="AO564" s="1352"/>
      <c r="AP564" s="1352"/>
      <c r="AQ564" s="1352"/>
      <c r="AR564" s="1352"/>
      <c r="AS564" s="1353"/>
      <c r="AT564" s="1031" t="str">
        <f>IF(AND(NOT(C563=""),C564="",NOT(C565="")),"!","")</f>
        <v/>
      </c>
      <c r="AU564" s="1030"/>
      <c r="BB564" s="3"/>
      <c r="BC564" s="3"/>
      <c r="BD564" s="3"/>
      <c r="BE564" s="3"/>
      <c r="BF564" s="3"/>
      <c r="BG564" s="3"/>
      <c r="BH564" s="3"/>
      <c r="BI564" s="3"/>
    </row>
    <row r="565" spans="1:61" ht="12.95" customHeight="1">
      <c r="B565" s="44" t="s">
        <v>82</v>
      </c>
      <c r="C565" s="1381" t="s">
        <v>1424</v>
      </c>
      <c r="D565" s="1381"/>
      <c r="E565" s="1381"/>
      <c r="F565" s="1381"/>
      <c r="G565" s="1381"/>
      <c r="H565" s="1381"/>
      <c r="I565" s="1381"/>
      <c r="J565" s="1381"/>
      <c r="K565" s="1381"/>
      <c r="L565" s="1381"/>
      <c r="M565" s="1345" t="s">
        <v>1367</v>
      </c>
      <c r="N565" s="1345"/>
      <c r="O565" s="1345"/>
      <c r="P565" s="1345"/>
      <c r="Q565" s="1396"/>
      <c r="R565" s="1397"/>
      <c r="S565" s="1398"/>
      <c r="T565" s="1396"/>
      <c r="U565" s="1397"/>
      <c r="V565" s="1398"/>
      <c r="W565" s="1382"/>
      <c r="X565" s="1383"/>
      <c r="Y565" s="1384"/>
      <c r="Z565" s="1575" t="s">
        <v>826</v>
      </c>
      <c r="AA565" s="1575"/>
      <c r="AB565" s="1575"/>
      <c r="AC565" s="1575"/>
      <c r="AD565" s="1575"/>
      <c r="AE565" s="1375"/>
      <c r="AF565" s="1376"/>
      <c r="AG565" s="1376"/>
      <c r="AH565" s="1377"/>
      <c r="AI565" s="1393"/>
      <c r="AJ565" s="1394"/>
      <c r="AK565" s="1394"/>
      <c r="AL565" s="1395"/>
      <c r="AM565" s="1351">
        <f>'[2]4%main spreadsheet'!$BW$7</f>
        <v>467044.46249999997</v>
      </c>
      <c r="AN565" s="1352"/>
      <c r="AO565" s="1352"/>
      <c r="AP565" s="1352"/>
      <c r="AQ565" s="1352"/>
      <c r="AR565" s="1352"/>
      <c r="AS565" s="1353"/>
      <c r="AT565" s="1031" t="str">
        <f>IF(AND(NOT(C564=""),C565="",NOT(C566="")),"!","")</f>
        <v/>
      </c>
      <c r="AU565" s="1030"/>
      <c r="BB565" s="3"/>
      <c r="BC565" s="3"/>
      <c r="BD565" s="3"/>
      <c r="BE565" s="3"/>
      <c r="BF565" s="3"/>
      <c r="BG565" s="3"/>
      <c r="BH565" s="3"/>
      <c r="BI565" s="3"/>
    </row>
    <row r="566" spans="1:61" ht="12.95" customHeight="1">
      <c r="B566" s="44" t="s">
        <v>86</v>
      </c>
      <c r="C566" s="1381" t="s">
        <v>1425</v>
      </c>
      <c r="D566" s="1381"/>
      <c r="E566" s="1381"/>
      <c r="F566" s="1381"/>
      <c r="G566" s="1381"/>
      <c r="H566" s="1381"/>
      <c r="I566" s="1381"/>
      <c r="J566" s="1381"/>
      <c r="K566" s="1381"/>
      <c r="L566" s="1381"/>
      <c r="M566" s="1345" t="s">
        <v>1377</v>
      </c>
      <c r="N566" s="1345"/>
      <c r="O566" s="1345"/>
      <c r="P566" s="1345"/>
      <c r="Q566" s="1396"/>
      <c r="R566" s="1397"/>
      <c r="S566" s="1398"/>
      <c r="T566" s="1396"/>
      <c r="U566" s="1397"/>
      <c r="V566" s="1398"/>
      <c r="W566" s="1382"/>
      <c r="X566" s="1383"/>
      <c r="Y566" s="1384"/>
      <c r="Z566" s="1575" t="s">
        <v>826</v>
      </c>
      <c r="AA566" s="1575"/>
      <c r="AB566" s="1575"/>
      <c r="AC566" s="1575"/>
      <c r="AD566" s="1575"/>
      <c r="AE566" s="1375"/>
      <c r="AF566" s="1376"/>
      <c r="AG566" s="1376"/>
      <c r="AH566" s="1377"/>
      <c r="AI566" s="1393"/>
      <c r="AJ566" s="1394"/>
      <c r="AK566" s="1394"/>
      <c r="AL566" s="1395"/>
      <c r="AM566" s="1351">
        <f>'[2]4%main spreadsheet'!$BW$21</f>
        <v>100</v>
      </c>
      <c r="AN566" s="1352"/>
      <c r="AO566" s="1352"/>
      <c r="AP566" s="1352"/>
      <c r="AQ566" s="1352"/>
      <c r="AR566" s="1352"/>
      <c r="AS566" s="1353"/>
      <c r="AT566" s="1031" t="str">
        <f t="shared" ref="AT566:AT573" si="2">IF(AND(NOT(C565=""),C566="",NOT(C567="")),"!","")</f>
        <v/>
      </c>
      <c r="AU566" s="1030"/>
      <c r="BB566" s="3"/>
      <c r="BC566" s="3"/>
      <c r="BD566" s="3"/>
      <c r="BE566" s="3"/>
      <c r="BF566" s="3"/>
      <c r="BG566" s="3"/>
      <c r="BH566" s="3" t="s">
        <v>86</v>
      </c>
      <c r="BI566" s="3" t="str">
        <f>N673</f>
        <v>Yes</v>
      </c>
    </row>
    <row r="567" spans="1:61" ht="12.95" customHeight="1">
      <c r="B567" s="44" t="s">
        <v>1426</v>
      </c>
      <c r="C567" s="1381" t="s">
        <v>1427</v>
      </c>
      <c r="D567" s="1381"/>
      <c r="E567" s="1381"/>
      <c r="F567" s="1381"/>
      <c r="G567" s="1381"/>
      <c r="H567" s="1381"/>
      <c r="I567" s="1381"/>
      <c r="J567" s="1381"/>
      <c r="K567" s="1381"/>
      <c r="L567" s="1381"/>
      <c r="M567" s="1345" t="s">
        <v>1378</v>
      </c>
      <c r="N567" s="1345"/>
      <c r="O567" s="1345"/>
      <c r="P567" s="1345"/>
      <c r="Q567" s="1396"/>
      <c r="R567" s="1397"/>
      <c r="S567" s="1398"/>
      <c r="T567" s="1396"/>
      <c r="U567" s="1397"/>
      <c r="V567" s="1398"/>
      <c r="W567" s="1382"/>
      <c r="X567" s="1383"/>
      <c r="Y567" s="1384"/>
      <c r="Z567" s="1575" t="s">
        <v>826</v>
      </c>
      <c r="AA567" s="1575"/>
      <c r="AB567" s="1575"/>
      <c r="AC567" s="1575"/>
      <c r="AD567" s="1575"/>
      <c r="AE567" s="1375"/>
      <c r="AF567" s="1376"/>
      <c r="AG567" s="1376"/>
      <c r="AH567" s="1377"/>
      <c r="AI567" s="1393"/>
      <c r="AJ567" s="1394"/>
      <c r="AK567" s="1394"/>
      <c r="AL567" s="1395"/>
      <c r="AM567" s="1351">
        <f>'[2]4%main spreadsheet'!$BX$22-'[2]4%main spreadsheet'!$BW$95</f>
        <v>3084313.2177774608</v>
      </c>
      <c r="AN567" s="1352"/>
      <c r="AO567" s="1352"/>
      <c r="AP567" s="1352"/>
      <c r="AQ567" s="1352"/>
      <c r="AR567" s="1352"/>
      <c r="AS567" s="1353"/>
      <c r="AT567" s="1031" t="str">
        <f t="shared" si="2"/>
        <v/>
      </c>
      <c r="AU567" s="1030"/>
      <c r="BB567" s="3"/>
      <c r="BC567" s="3"/>
      <c r="BD567" s="3"/>
      <c r="BE567" s="3"/>
      <c r="BF567" s="3"/>
      <c r="BG567" s="3"/>
      <c r="BH567" s="3" t="s">
        <v>1426</v>
      </c>
      <c r="BI567" s="3" t="str">
        <f>AG673</f>
        <v>Yes</v>
      </c>
    </row>
    <row r="568" spans="1:61" ht="12.95" customHeight="1">
      <c r="B568" s="44" t="s">
        <v>1428</v>
      </c>
      <c r="C568" s="1381" t="s">
        <v>1429</v>
      </c>
      <c r="D568" s="1381"/>
      <c r="E568" s="1381"/>
      <c r="F568" s="1381"/>
      <c r="G568" s="1381"/>
      <c r="H568" s="1381"/>
      <c r="I568" s="1381"/>
      <c r="J568" s="1381"/>
      <c r="K568" s="1381"/>
      <c r="L568" s="1381"/>
      <c r="M568" s="1345" t="s">
        <v>1372</v>
      </c>
      <c r="N568" s="1345"/>
      <c r="O568" s="1345"/>
      <c r="P568" s="1345"/>
      <c r="Q568" s="1396"/>
      <c r="R568" s="1397"/>
      <c r="S568" s="1398"/>
      <c r="T568" s="1396"/>
      <c r="U568" s="1397"/>
      <c r="V568" s="1398"/>
      <c r="W568" s="1382"/>
      <c r="X568" s="1383"/>
      <c r="Y568" s="1384"/>
      <c r="Z568" s="1575" t="s">
        <v>826</v>
      </c>
      <c r="AA568" s="1575"/>
      <c r="AB568" s="1575"/>
      <c r="AC568" s="1575"/>
      <c r="AD568" s="1575"/>
      <c r="AE568" s="1375"/>
      <c r="AF568" s="1376"/>
      <c r="AG568" s="1376"/>
      <c r="AH568" s="1377"/>
      <c r="AI568" s="1393"/>
      <c r="AJ568" s="1394"/>
      <c r="AK568" s="1394"/>
      <c r="AL568" s="1395"/>
      <c r="AM568" s="1351">
        <f>'[2]4%main spreadsheet'!$BW$20</f>
        <v>2799900</v>
      </c>
      <c r="AN568" s="1352"/>
      <c r="AO568" s="1352"/>
      <c r="AP568" s="1352"/>
      <c r="AQ568" s="1352"/>
      <c r="AR568" s="1352"/>
      <c r="AS568" s="1353"/>
      <c r="AT568" s="1031" t="str">
        <f t="shared" si="2"/>
        <v/>
      </c>
      <c r="AU568" s="1030"/>
      <c r="BB568" s="3"/>
      <c r="BC568" s="3"/>
      <c r="BD568" s="3"/>
      <c r="BE568" s="3"/>
      <c r="BF568" s="3"/>
      <c r="BG568" s="3"/>
      <c r="BH568" s="3"/>
      <c r="BI568" s="3"/>
    </row>
    <row r="569" spans="1:61" ht="12.95" customHeight="1">
      <c r="B569" s="44" t="s">
        <v>1430</v>
      </c>
      <c r="C569" s="1381" t="s">
        <v>1431</v>
      </c>
      <c r="D569" s="1381"/>
      <c r="E569" s="1381"/>
      <c r="F569" s="1381"/>
      <c r="G569" s="1381"/>
      <c r="H569" s="1381"/>
      <c r="I569" s="1381"/>
      <c r="J569" s="1381"/>
      <c r="K569" s="1381"/>
      <c r="L569" s="1381"/>
      <c r="M569" s="1345" t="s">
        <v>1370</v>
      </c>
      <c r="N569" s="1345"/>
      <c r="O569" s="1345"/>
      <c r="P569" s="1345"/>
      <c r="Q569" s="1396"/>
      <c r="R569" s="1397"/>
      <c r="S569" s="1398"/>
      <c r="T569" s="1396"/>
      <c r="U569" s="1397"/>
      <c r="V569" s="1398"/>
      <c r="W569" s="1382"/>
      <c r="X569" s="1383"/>
      <c r="Y569" s="1384"/>
      <c r="Z569" s="1575" t="s">
        <v>826</v>
      </c>
      <c r="AA569" s="1575"/>
      <c r="AB569" s="1575"/>
      <c r="AC569" s="1575"/>
      <c r="AD569" s="1575"/>
      <c r="AE569" s="1375"/>
      <c r="AF569" s="1376"/>
      <c r="AG569" s="1376"/>
      <c r="AH569" s="1377"/>
      <c r="AI569" s="1393"/>
      <c r="AJ569" s="1394"/>
      <c r="AK569" s="1394"/>
      <c r="AL569" s="1395"/>
      <c r="AM569" s="1351">
        <f>'[2]4%main spreadsheet'!$CJ$76+'[2]4%main spreadsheet'!$DB$86+'[2]4%main spreadsheet'!$DC$86+'[2]4%main spreadsheet'!$DB$81+'[2]4%main spreadsheet'!$DB$82</f>
        <v>2130993.6320797838</v>
      </c>
      <c r="AN569" s="1352"/>
      <c r="AO569" s="1352"/>
      <c r="AP569" s="1352"/>
      <c r="AQ569" s="1352"/>
      <c r="AR569" s="1352"/>
      <c r="AS569" s="1353"/>
      <c r="AT569" s="1031" t="str">
        <f t="shared" si="2"/>
        <v/>
      </c>
      <c r="AU569" s="1030"/>
      <c r="BB569" s="3"/>
      <c r="BC569" s="3"/>
      <c r="BD569" s="3"/>
      <c r="BE569" s="3"/>
      <c r="BF569" s="3"/>
      <c r="BG569" s="3"/>
      <c r="BH569" s="3"/>
      <c r="BI569" s="3"/>
    </row>
    <row r="570" spans="1:61" ht="12.95" customHeight="1">
      <c r="B570" s="44" t="s">
        <v>1432</v>
      </c>
      <c r="C570" s="1381"/>
      <c r="D570" s="1381"/>
      <c r="E570" s="1381"/>
      <c r="F570" s="1381"/>
      <c r="G570" s="1381"/>
      <c r="H570" s="1381"/>
      <c r="I570" s="1381"/>
      <c r="J570" s="1381"/>
      <c r="K570" s="1381"/>
      <c r="L570" s="1381"/>
      <c r="M570" s="1345" t="s">
        <v>1045</v>
      </c>
      <c r="N570" s="1345"/>
      <c r="O570" s="1345"/>
      <c r="P570" s="1345"/>
      <c r="Q570" s="1396"/>
      <c r="R570" s="1397"/>
      <c r="S570" s="1398"/>
      <c r="T570" s="1396"/>
      <c r="U570" s="1397"/>
      <c r="V570" s="1398"/>
      <c r="W570" s="1382"/>
      <c r="X570" s="1383"/>
      <c r="Y570" s="1384"/>
      <c r="Z570" s="1575" t="s">
        <v>1045</v>
      </c>
      <c r="AA570" s="1575"/>
      <c r="AB570" s="1575"/>
      <c r="AC570" s="1575"/>
      <c r="AD570" s="1575"/>
      <c r="AE570" s="1375"/>
      <c r="AF570" s="1376"/>
      <c r="AG570" s="1376"/>
      <c r="AH570" s="1377"/>
      <c r="AI570" s="1393"/>
      <c r="AJ570" s="1394"/>
      <c r="AK570" s="1394"/>
      <c r="AL570" s="1395"/>
      <c r="AM570" s="1351"/>
      <c r="AN570" s="1352"/>
      <c r="AO570" s="1352"/>
      <c r="AP570" s="1352"/>
      <c r="AQ570" s="1352"/>
      <c r="AR570" s="1352"/>
      <c r="AS570" s="1353"/>
      <c r="AT570" s="1031" t="str">
        <f t="shared" si="2"/>
        <v/>
      </c>
      <c r="AU570" s="1030"/>
      <c r="BB570" s="3"/>
      <c r="BC570" s="3"/>
      <c r="BD570" s="3"/>
      <c r="BE570" s="3"/>
      <c r="BF570" s="3"/>
      <c r="BG570" s="3"/>
      <c r="BH570" s="3"/>
      <c r="BI570" s="3"/>
    </row>
    <row r="571" spans="1:61" ht="12.95" customHeight="1">
      <c r="B571" s="44" t="s">
        <v>1433</v>
      </c>
      <c r="C571" s="1381"/>
      <c r="D571" s="1381"/>
      <c r="E571" s="1381"/>
      <c r="F571" s="1381"/>
      <c r="G571" s="1381"/>
      <c r="H571" s="1381"/>
      <c r="I571" s="1381"/>
      <c r="J571" s="1381"/>
      <c r="K571" s="1381"/>
      <c r="L571" s="1381"/>
      <c r="M571" s="1345" t="s">
        <v>1045</v>
      </c>
      <c r="N571" s="1345"/>
      <c r="O571" s="1345"/>
      <c r="P571" s="1345"/>
      <c r="Q571" s="1396"/>
      <c r="R571" s="1397"/>
      <c r="S571" s="1398"/>
      <c r="T571" s="1396"/>
      <c r="U571" s="1397"/>
      <c r="V571" s="1398"/>
      <c r="W571" s="1382"/>
      <c r="X571" s="1383"/>
      <c r="Y571" s="1384"/>
      <c r="Z571" s="1575" t="s">
        <v>1045</v>
      </c>
      <c r="AA571" s="1575"/>
      <c r="AB571" s="1575"/>
      <c r="AC571" s="1575"/>
      <c r="AD571" s="1575"/>
      <c r="AE571" s="1375"/>
      <c r="AF571" s="1376"/>
      <c r="AG571" s="1376"/>
      <c r="AH571" s="1377"/>
      <c r="AI571" s="1393"/>
      <c r="AJ571" s="1394"/>
      <c r="AK571" s="1394"/>
      <c r="AL571" s="1395"/>
      <c r="AM571" s="1351"/>
      <c r="AN571" s="1352"/>
      <c r="AO571" s="1352"/>
      <c r="AP571" s="1352"/>
      <c r="AQ571" s="1352"/>
      <c r="AR571" s="1352"/>
      <c r="AS571" s="1353"/>
      <c r="AT571" s="1031" t="str">
        <f t="shared" si="2"/>
        <v/>
      </c>
      <c r="BB571" s="3"/>
      <c r="BC571" s="3"/>
      <c r="BD571" s="3"/>
      <c r="BE571" s="3"/>
      <c r="BF571" s="3"/>
      <c r="BG571" s="3"/>
      <c r="BH571" s="3"/>
      <c r="BI571" s="3"/>
    </row>
    <row r="572" spans="1:61" ht="12.95" customHeight="1">
      <c r="B572" s="44" t="s">
        <v>1434</v>
      </c>
      <c r="C572" s="1381"/>
      <c r="D572" s="1381"/>
      <c r="E572" s="1381"/>
      <c r="F572" s="1381"/>
      <c r="G572" s="1381"/>
      <c r="H572" s="1381"/>
      <c r="I572" s="1381"/>
      <c r="J572" s="1381"/>
      <c r="K572" s="1381"/>
      <c r="L572" s="1381"/>
      <c r="M572" s="1345" t="s">
        <v>1045</v>
      </c>
      <c r="N572" s="1345"/>
      <c r="O572" s="1345"/>
      <c r="P572" s="1345"/>
      <c r="Q572" s="1396"/>
      <c r="R572" s="1397"/>
      <c r="S572" s="1398"/>
      <c r="T572" s="1396"/>
      <c r="U572" s="1397"/>
      <c r="V572" s="1398"/>
      <c r="W572" s="1382"/>
      <c r="X572" s="1383"/>
      <c r="Y572" s="1384"/>
      <c r="Z572" s="1575" t="s">
        <v>1045</v>
      </c>
      <c r="AA572" s="1575"/>
      <c r="AB572" s="1575"/>
      <c r="AC572" s="1575"/>
      <c r="AD572" s="1575"/>
      <c r="AE572" s="1375"/>
      <c r="AF572" s="1376"/>
      <c r="AG572" s="1376"/>
      <c r="AH572" s="1377"/>
      <c r="AI572" s="1393"/>
      <c r="AJ572" s="1394"/>
      <c r="AK572" s="1394"/>
      <c r="AL572" s="1395"/>
      <c r="AM572" s="1351"/>
      <c r="AN572" s="1352"/>
      <c r="AO572" s="1352"/>
      <c r="AP572" s="1352"/>
      <c r="AQ572" s="1352"/>
      <c r="AR572" s="1352"/>
      <c r="AS572" s="1353"/>
      <c r="AT572" s="1031" t="str">
        <f t="shared" si="2"/>
        <v/>
      </c>
      <c r="BB572" s="3"/>
      <c r="BC572" s="3"/>
      <c r="BD572" s="3"/>
      <c r="BE572" s="3"/>
      <c r="BF572" s="3"/>
      <c r="BG572" s="3"/>
      <c r="BH572" s="3"/>
      <c r="BI572" s="3"/>
    </row>
    <row r="573" spans="1:61" ht="12.95" customHeight="1">
      <c r="B573" s="44" t="s">
        <v>1435</v>
      </c>
      <c r="C573" s="1381"/>
      <c r="D573" s="1381"/>
      <c r="E573" s="1381"/>
      <c r="F573" s="1381"/>
      <c r="G573" s="1381"/>
      <c r="H573" s="1381"/>
      <c r="I573" s="1381"/>
      <c r="J573" s="1381"/>
      <c r="K573" s="1381"/>
      <c r="L573" s="1381"/>
      <c r="M573" s="1345" t="s">
        <v>1045</v>
      </c>
      <c r="N573" s="1345"/>
      <c r="O573" s="1345"/>
      <c r="P573" s="1345"/>
      <c r="Q573" s="1396"/>
      <c r="R573" s="1397"/>
      <c r="S573" s="1398"/>
      <c r="T573" s="1396"/>
      <c r="U573" s="1397"/>
      <c r="V573" s="1398"/>
      <c r="W573" s="1382"/>
      <c r="X573" s="1383"/>
      <c r="Y573" s="1384"/>
      <c r="Z573" s="1575" t="s">
        <v>1045</v>
      </c>
      <c r="AA573" s="1575"/>
      <c r="AB573" s="1575"/>
      <c r="AC573" s="1575"/>
      <c r="AD573" s="1575"/>
      <c r="AE573" s="1375"/>
      <c r="AF573" s="1376"/>
      <c r="AG573" s="1376"/>
      <c r="AH573" s="1377"/>
      <c r="AI573" s="1393"/>
      <c r="AJ573" s="1394"/>
      <c r="AK573" s="1394"/>
      <c r="AL573" s="1395"/>
      <c r="AM573" s="1351"/>
      <c r="AN573" s="1352"/>
      <c r="AO573" s="1352"/>
      <c r="AP573" s="1352"/>
      <c r="AQ573" s="1352"/>
      <c r="AR573" s="1352"/>
      <c r="AS573" s="1353"/>
      <c r="AT573" s="1031" t="str">
        <f t="shared" si="2"/>
        <v/>
      </c>
      <c r="BB573" s="3"/>
      <c r="BC573" s="3"/>
      <c r="BD573" s="3"/>
      <c r="BE573" s="3"/>
      <c r="BF573" s="3"/>
      <c r="BG573" s="3"/>
      <c r="BH573" s="3"/>
      <c r="BI573" s="3"/>
    </row>
    <row r="574" spans="1:61" ht="12.95" customHeight="1">
      <c r="B574" s="1423" t="s">
        <v>1436</v>
      </c>
      <c r="C574" s="1424"/>
      <c r="D574" s="1424"/>
      <c r="E574" s="1424"/>
      <c r="F574" s="1424"/>
      <c r="G574" s="1424"/>
      <c r="H574" s="1424"/>
      <c r="I574" s="1424"/>
      <c r="J574" s="1424"/>
      <c r="K574" s="1424"/>
      <c r="L574" s="1424"/>
      <c r="M574" s="1424"/>
      <c r="N574" s="1424"/>
      <c r="O574" s="1424"/>
      <c r="P574" s="1424"/>
      <c r="Q574" s="1424"/>
      <c r="R574" s="1424"/>
      <c r="S574" s="1424"/>
      <c r="T574" s="1424"/>
      <c r="U574" s="1571"/>
      <c r="V574" s="1424"/>
      <c r="W574" s="1424"/>
      <c r="X574" s="1424"/>
      <c r="Y574" s="1424"/>
      <c r="Z574" s="1424"/>
      <c r="AA574" s="1424"/>
      <c r="AB574" s="1424"/>
      <c r="AC574" s="1424"/>
      <c r="AD574" s="1424"/>
      <c r="AE574" s="1424"/>
      <c r="AF574" s="1424"/>
      <c r="AG574" s="1424"/>
      <c r="AH574" s="1424"/>
      <c r="AI574" s="1424"/>
      <c r="AJ574" s="1424"/>
      <c r="AK574" s="1424"/>
      <c r="AL574" s="1425"/>
      <c r="AM574" s="1410">
        <f>SUM(AM562:AS573)</f>
        <v>82176624.093488991</v>
      </c>
      <c r="AN574" s="1411"/>
      <c r="AO574" s="1411"/>
      <c r="AP574" s="1411"/>
      <c r="AQ574" s="1411"/>
      <c r="AR574" s="1411"/>
      <c r="AS574" s="1412"/>
      <c r="BB574" s="3"/>
      <c r="BC574" s="3"/>
      <c r="BD574" s="3"/>
      <c r="BE574" s="3"/>
      <c r="BF574" s="3"/>
      <c r="BG574" s="3"/>
      <c r="BH574" s="3" t="s">
        <v>1428</v>
      </c>
      <c r="BI574" s="3">
        <f>N681</f>
        <v>0</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1430</v>
      </c>
      <c r="BI575" s="3" t="str">
        <f>AG681</f>
        <v>No</v>
      </c>
    </row>
    <row r="576" spans="1:61" ht="12.95" customHeight="1">
      <c r="A576" s="47" t="s">
        <v>18</v>
      </c>
      <c r="B576" t="s">
        <v>1437</v>
      </c>
      <c r="G576" s="1349" t="str">
        <f>C562</f>
        <v>Key Bank Construction Loan - Tax-exempt</v>
      </c>
      <c r="H576" s="1349"/>
      <c r="I576" s="1349"/>
      <c r="J576" s="1349"/>
      <c r="K576" s="1349"/>
      <c r="L576" s="1349"/>
      <c r="M576" s="1349"/>
      <c r="N576" s="1349"/>
      <c r="O576" s="1349"/>
      <c r="P576" s="1349"/>
      <c r="Q576" s="1349"/>
      <c r="R576" s="1349"/>
      <c r="S576" s="7"/>
      <c r="T576" s="47" t="s">
        <v>31</v>
      </c>
      <c r="U576" t="s">
        <v>1437</v>
      </c>
      <c r="Z576" s="1349" t="str">
        <f>C563</f>
        <v>Key Bank Construction Loan - Taxable</v>
      </c>
      <c r="AA576" s="1349"/>
      <c r="AB576" s="1349"/>
      <c r="AC576" s="1349"/>
      <c r="AD576" s="1349"/>
      <c r="AE576" s="1349"/>
      <c r="AF576" s="1349"/>
      <c r="AG576" s="1349"/>
      <c r="AH576" s="1349"/>
      <c r="AI576" s="1349"/>
      <c r="AJ576" s="1349"/>
      <c r="AK576" s="1349"/>
      <c r="BB576" s="3"/>
      <c r="BC576" s="3"/>
      <c r="BD576" s="3"/>
      <c r="BE576" s="3"/>
      <c r="BF576" s="3"/>
      <c r="BG576" s="3"/>
      <c r="BH576" s="3"/>
      <c r="BI576" s="3"/>
    </row>
    <row r="577" spans="1:61" ht="12.95" customHeight="1">
      <c r="A577" s="19"/>
      <c r="B577" t="s">
        <v>1083</v>
      </c>
      <c r="G577" s="1335" t="s">
        <v>1438</v>
      </c>
      <c r="H577" s="1335"/>
      <c r="I577" s="1335"/>
      <c r="J577" s="1335"/>
      <c r="K577" s="1335"/>
      <c r="L577" s="1335"/>
      <c r="M577" s="1335"/>
      <c r="N577" s="1335"/>
      <c r="O577" s="1335"/>
      <c r="P577" s="1335"/>
      <c r="Q577" s="1335"/>
      <c r="R577" s="1335"/>
      <c r="S577" s="7"/>
      <c r="T577" s="19"/>
      <c r="U577" t="s">
        <v>1083</v>
      </c>
      <c r="Z577" s="1335" t="s">
        <v>1438</v>
      </c>
      <c r="AA577" s="1335"/>
      <c r="AB577" s="1335"/>
      <c r="AC577" s="1335"/>
      <c r="AD577" s="1335"/>
      <c r="AE577" s="1335"/>
      <c r="AF577" s="1335"/>
      <c r="AG577" s="1335"/>
      <c r="AH577" s="1335"/>
      <c r="AI577" s="1335"/>
      <c r="AJ577" s="1335"/>
      <c r="AK577" s="1335"/>
      <c r="BB577" s="3"/>
      <c r="BC577" s="3"/>
      <c r="BD577" s="3"/>
      <c r="BE577" s="3"/>
      <c r="BF577" s="3"/>
      <c r="BG577" s="3"/>
      <c r="BH577" s="3"/>
      <c r="BI577" s="3"/>
    </row>
    <row r="578" spans="1:61" ht="12.95" customHeight="1">
      <c r="A578" s="19"/>
      <c r="B578" t="s">
        <v>947</v>
      </c>
      <c r="G578" s="1335" t="s">
        <v>1439</v>
      </c>
      <c r="H578" s="1335"/>
      <c r="I578" s="1335"/>
      <c r="J578" s="1335"/>
      <c r="K578" s="1335"/>
      <c r="L578" s="1335"/>
      <c r="M578" s="1335"/>
      <c r="N578" s="1335"/>
      <c r="O578" s="1335"/>
      <c r="P578" s="1335"/>
      <c r="Q578" s="1335"/>
      <c r="R578" s="1335"/>
      <c r="T578" s="19"/>
      <c r="U578" t="s">
        <v>947</v>
      </c>
      <c r="Z578" s="1350" t="s">
        <v>1439</v>
      </c>
      <c r="AA578" s="1350"/>
      <c r="AB578" s="1350"/>
      <c r="AC578" s="1350"/>
      <c r="AD578" s="1350"/>
      <c r="AE578" s="1350"/>
      <c r="AF578" s="1350"/>
      <c r="AG578" s="1350"/>
      <c r="AH578" s="1350"/>
      <c r="AI578" s="1350"/>
      <c r="AJ578" s="1350"/>
      <c r="AK578" s="1350"/>
      <c r="BB578" s="3"/>
      <c r="BC578" s="3"/>
      <c r="BD578" s="3"/>
      <c r="BE578" s="3"/>
      <c r="BF578" s="3"/>
      <c r="BG578" s="3"/>
      <c r="BH578" s="3"/>
      <c r="BI578" s="3"/>
    </row>
    <row r="579" spans="1:61" ht="12.95" customHeight="1">
      <c r="A579" s="19"/>
      <c r="B579" t="s">
        <v>1440</v>
      </c>
      <c r="G579" s="1335" t="s">
        <v>1441</v>
      </c>
      <c r="H579" s="1335"/>
      <c r="I579" s="1335"/>
      <c r="J579" s="1335"/>
      <c r="K579" s="1335"/>
      <c r="L579" s="1335"/>
      <c r="M579" s="1335"/>
      <c r="N579" s="1335"/>
      <c r="O579" s="1335"/>
      <c r="P579" s="1335"/>
      <c r="Q579" s="1335"/>
      <c r="R579" s="1335"/>
      <c r="S579" s="7"/>
      <c r="T579" s="19"/>
      <c r="U579" t="s">
        <v>1440</v>
      </c>
      <c r="Z579" s="1350" t="s">
        <v>1441</v>
      </c>
      <c r="AA579" s="1350"/>
      <c r="AB579" s="1350"/>
      <c r="AC579" s="1350"/>
      <c r="AD579" s="1350"/>
      <c r="AE579" s="1350"/>
      <c r="AF579" s="1350"/>
      <c r="AG579" s="1350"/>
      <c r="AH579" s="1350"/>
      <c r="AI579" s="1350"/>
      <c r="AJ579" s="1350"/>
      <c r="AK579" s="1350"/>
      <c r="BB579" s="3"/>
      <c r="BC579" s="3"/>
      <c r="BD579" s="3"/>
      <c r="BE579" s="3"/>
      <c r="BF579" s="3"/>
      <c r="BG579" s="3"/>
      <c r="BH579" s="3"/>
      <c r="BI579" s="3"/>
    </row>
    <row r="580" spans="1:61" ht="12.95" customHeight="1">
      <c r="A580" s="19"/>
      <c r="B580" t="s">
        <v>840</v>
      </c>
      <c r="G580" s="1334" t="s">
        <v>1442</v>
      </c>
      <c r="H580" s="1334"/>
      <c r="I580" s="1334"/>
      <c r="J580" s="1334"/>
      <c r="K580" s="1334"/>
      <c r="L580" s="1334"/>
      <c r="O580" s="918" t="s">
        <v>1088</v>
      </c>
      <c r="P580" s="1274"/>
      <c r="Q580" s="1274"/>
      <c r="R580" s="1274"/>
      <c r="S580" s="9"/>
      <c r="T580" s="19"/>
      <c r="U580" t="s">
        <v>840</v>
      </c>
      <c r="Z580" s="1334" t="s">
        <v>1442</v>
      </c>
      <c r="AA580" s="1334"/>
      <c r="AB580" s="1334"/>
      <c r="AC580" s="1334"/>
      <c r="AD580" s="1334"/>
      <c r="AE580" s="1334"/>
      <c r="AH580" s="918" t="s">
        <v>1088</v>
      </c>
      <c r="AI580" s="1274"/>
      <c r="AJ580" s="1274"/>
      <c r="AK580" s="1274"/>
      <c r="BB580" s="3"/>
      <c r="BC580" s="3"/>
      <c r="BD580" s="3"/>
      <c r="BE580" s="3"/>
      <c r="BF580" s="3"/>
      <c r="BG580" s="3"/>
      <c r="BH580" s="3"/>
      <c r="BI580" s="3"/>
    </row>
    <row r="581" spans="1:61" ht="12.95" customHeight="1">
      <c r="A581" s="19"/>
      <c r="B581" t="s">
        <v>1443</v>
      </c>
      <c r="H581" s="1335" t="s">
        <v>1444</v>
      </c>
      <c r="I581" s="1335"/>
      <c r="J581" s="1335"/>
      <c r="K581" s="1335"/>
      <c r="L581" s="1335"/>
      <c r="M581" s="1335"/>
      <c r="N581" s="1335"/>
      <c r="O581" s="1335"/>
      <c r="P581" s="1335"/>
      <c r="Q581" s="1335"/>
      <c r="R581" s="1335"/>
      <c r="S581" s="7"/>
      <c r="T581" s="19"/>
      <c r="U581" t="s">
        <v>1443</v>
      </c>
      <c r="AA581" s="1335" t="s">
        <v>1444</v>
      </c>
      <c r="AB581" s="1335"/>
      <c r="AC581" s="1335"/>
      <c r="AD581" s="1335"/>
      <c r="AE581" s="1335"/>
      <c r="AF581" s="1335"/>
      <c r="AG581" s="1335"/>
      <c r="AH581" s="1335"/>
      <c r="AI581" s="1335"/>
      <c r="AJ581" s="1335"/>
      <c r="AK581" s="1335"/>
      <c r="BB581" s="3"/>
      <c r="BC581" s="3"/>
      <c r="BD581" s="3"/>
      <c r="BE581" s="3"/>
      <c r="BF581" s="3"/>
      <c r="BG581" s="3"/>
      <c r="BH581" s="3"/>
      <c r="BI581" s="3"/>
    </row>
    <row r="582" spans="1:61" ht="12.95" customHeight="1">
      <c r="A582" s="19"/>
      <c r="B582" s="225" t="s">
        <v>1445</v>
      </c>
      <c r="H582" s="7"/>
      <c r="I582" s="7"/>
      <c r="J582" s="7"/>
      <c r="K582" s="7"/>
      <c r="L582" s="7"/>
      <c r="M582" s="1574"/>
      <c r="N582" s="1574"/>
      <c r="O582" s="1574"/>
      <c r="P582" s="1574"/>
      <c r="Q582" s="1574"/>
      <c r="R582" s="1574"/>
      <c r="S582" s="7"/>
      <c r="T582" s="19"/>
      <c r="U582" s="225" t="s">
        <v>1445</v>
      </c>
      <c r="AA582" s="7"/>
      <c r="AB582" s="7"/>
      <c r="AC582" s="7"/>
      <c r="AD582" s="7"/>
      <c r="AE582" s="7"/>
      <c r="AF582" s="1574"/>
      <c r="AG582" s="1574"/>
      <c r="AH582" s="1574"/>
      <c r="AI582" s="1574"/>
      <c r="AJ582" s="1574"/>
      <c r="AK582" s="1574"/>
      <c r="BB582" s="3"/>
      <c r="BC582" s="3"/>
      <c r="BD582" s="3"/>
      <c r="BE582" s="3"/>
      <c r="BF582" s="3"/>
      <c r="BG582" s="3"/>
      <c r="BH582" s="3"/>
      <c r="BI582" s="3"/>
    </row>
    <row r="583" spans="1:61" ht="12.95" customHeight="1">
      <c r="A583" s="19"/>
      <c r="B583" t="s">
        <v>1446</v>
      </c>
      <c r="N583" s="1229" t="s">
        <v>862</v>
      </c>
      <c r="O583" s="1229"/>
      <c r="T583" s="19"/>
      <c r="U583" t="s">
        <v>1446</v>
      </c>
      <c r="AG583" s="1229" t="s">
        <v>862</v>
      </c>
      <c r="AH583" s="1229"/>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1437</v>
      </c>
      <c r="G585" s="1349" t="str">
        <f>C564</f>
        <v>HCD Joe Serna, Jr. FWHG</v>
      </c>
      <c r="H585" s="1349"/>
      <c r="I585" s="1349"/>
      <c r="J585" s="1349"/>
      <c r="K585" s="1349"/>
      <c r="L585" s="1349"/>
      <c r="M585" s="1349"/>
      <c r="N585" s="1349"/>
      <c r="O585" s="1349"/>
      <c r="P585" s="1349"/>
      <c r="Q585" s="1349"/>
      <c r="R585" s="1349"/>
      <c r="T585" s="47" t="s">
        <v>82</v>
      </c>
      <c r="U585" t="s">
        <v>1437</v>
      </c>
      <c r="Z585" s="1349" t="str">
        <f>C565</f>
        <v>Accrued Soft Loan Interest</v>
      </c>
      <c r="AA585" s="1349"/>
      <c r="AB585" s="1349"/>
      <c r="AC585" s="1349"/>
      <c r="AD585" s="1349"/>
      <c r="AE585" s="1349"/>
      <c r="AF585" s="1349"/>
      <c r="AG585" s="1349"/>
      <c r="AH585" s="1349"/>
      <c r="AI585" s="1349"/>
      <c r="AJ585" s="1349"/>
      <c r="AK585" s="1349"/>
      <c r="BB585" s="3"/>
      <c r="BC585" s="3"/>
    </row>
    <row r="586" spans="1:61" ht="12.95" customHeight="1">
      <c r="A586" s="19"/>
      <c r="B586" t="s">
        <v>1083</v>
      </c>
      <c r="G586" s="1335" t="s">
        <v>1447</v>
      </c>
      <c r="H586" s="1335"/>
      <c r="I586" s="1335"/>
      <c r="J586" s="1335"/>
      <c r="K586" s="1335"/>
      <c r="L586" s="1335"/>
      <c r="M586" s="1335"/>
      <c r="N586" s="1335"/>
      <c r="O586" s="1335"/>
      <c r="P586" s="1335"/>
      <c r="Q586" s="1335"/>
      <c r="R586" s="1335"/>
      <c r="T586" s="19"/>
      <c r="U586" t="s">
        <v>1083</v>
      </c>
      <c r="Z586" s="1335" t="s">
        <v>1447</v>
      </c>
      <c r="AA586" s="1335"/>
      <c r="AB586" s="1335"/>
      <c r="AC586" s="1335"/>
      <c r="AD586" s="1335"/>
      <c r="AE586" s="1335"/>
      <c r="AF586" s="1335"/>
      <c r="AG586" s="1335"/>
      <c r="AH586" s="1335"/>
      <c r="AI586" s="1335"/>
      <c r="AJ586" s="1335"/>
      <c r="AK586" s="1335"/>
      <c r="BB586" s="3"/>
      <c r="BC586" s="3"/>
    </row>
    <row r="587" spans="1:61" ht="12.95" customHeight="1">
      <c r="A587" s="19"/>
      <c r="B587" t="s">
        <v>947</v>
      </c>
      <c r="G587" s="1350" t="s">
        <v>1448</v>
      </c>
      <c r="H587" s="1350"/>
      <c r="I587" s="1350"/>
      <c r="J587" s="1350"/>
      <c r="K587" s="1350"/>
      <c r="L587" s="1350"/>
      <c r="M587" s="1350"/>
      <c r="N587" s="1350"/>
      <c r="O587" s="1350"/>
      <c r="P587" s="1350"/>
      <c r="Q587" s="1350"/>
      <c r="R587" s="1350"/>
      <c r="T587" s="19"/>
      <c r="U587" t="s">
        <v>947</v>
      </c>
      <c r="Z587" s="1350" t="s">
        <v>1448</v>
      </c>
      <c r="AA587" s="1350"/>
      <c r="AB587" s="1350"/>
      <c r="AC587" s="1350"/>
      <c r="AD587" s="1350"/>
      <c r="AE587" s="1350"/>
      <c r="AF587" s="1350"/>
      <c r="AG587" s="1350"/>
      <c r="AH587" s="1350"/>
      <c r="AI587" s="1350"/>
      <c r="AJ587" s="1350"/>
      <c r="AK587" s="1350"/>
      <c r="BB587" s="3"/>
      <c r="BC587" s="3"/>
    </row>
    <row r="588" spans="1:61" ht="12.95" customHeight="1">
      <c r="A588" s="19"/>
      <c r="B588" t="s">
        <v>1440</v>
      </c>
      <c r="G588" s="1350" t="s">
        <v>1449</v>
      </c>
      <c r="H588" s="1350"/>
      <c r="I588" s="1350"/>
      <c r="J588" s="1350"/>
      <c r="K588" s="1350"/>
      <c r="L588" s="1350"/>
      <c r="M588" s="1350"/>
      <c r="N588" s="1350"/>
      <c r="O588" s="1350"/>
      <c r="P588" s="1350"/>
      <c r="Q588" s="1350"/>
      <c r="R588" s="1350"/>
      <c r="T588" s="19"/>
      <c r="U588" t="s">
        <v>1440</v>
      </c>
      <c r="Z588" s="1350" t="s">
        <v>1449</v>
      </c>
      <c r="AA588" s="1350"/>
      <c r="AB588" s="1350"/>
      <c r="AC588" s="1350"/>
      <c r="AD588" s="1350"/>
      <c r="AE588" s="1350"/>
      <c r="AF588" s="1350"/>
      <c r="AG588" s="1350"/>
      <c r="AH588" s="1350"/>
      <c r="AI588" s="1350"/>
      <c r="AJ588" s="1350"/>
      <c r="AK588" s="1350"/>
      <c r="BB588" s="3"/>
      <c r="BC588" s="3"/>
    </row>
    <row r="589" spans="1:61" ht="12.95" customHeight="1">
      <c r="A589" s="19"/>
      <c r="B589" t="s">
        <v>840</v>
      </c>
      <c r="G589" s="1334" t="s">
        <v>1450</v>
      </c>
      <c r="H589" s="1334"/>
      <c r="I589" s="1334"/>
      <c r="J589" s="1334"/>
      <c r="K589" s="1334"/>
      <c r="L589" s="1334"/>
      <c r="O589" s="918" t="s">
        <v>1088</v>
      </c>
      <c r="P589" s="1274"/>
      <c r="Q589" s="1274"/>
      <c r="R589" s="1274"/>
      <c r="T589" s="19"/>
      <c r="U589" t="s">
        <v>840</v>
      </c>
      <c r="Z589" s="1334" t="s">
        <v>1450</v>
      </c>
      <c r="AA589" s="1334"/>
      <c r="AB589" s="1334"/>
      <c r="AC589" s="1334"/>
      <c r="AD589" s="1334"/>
      <c r="AE589" s="1334"/>
      <c r="AH589" s="918" t="s">
        <v>1088</v>
      </c>
      <c r="AI589" s="1274"/>
      <c r="AJ589" s="1274"/>
      <c r="AK589" s="1274"/>
      <c r="BB589" s="3"/>
      <c r="BC589" s="3"/>
    </row>
    <row r="590" spans="1:61" ht="12.95" customHeight="1">
      <c r="A590" s="19"/>
      <c r="B590" t="s">
        <v>1443</v>
      </c>
      <c r="H590" s="1335" t="s">
        <v>1451</v>
      </c>
      <c r="I590" s="1335"/>
      <c r="J590" s="1335"/>
      <c r="K590" s="1335"/>
      <c r="L590" s="1335"/>
      <c r="M590" s="1335"/>
      <c r="N590" s="1335"/>
      <c r="O590" s="1335"/>
      <c r="P590" s="1335"/>
      <c r="Q590" s="1335"/>
      <c r="R590" s="1335"/>
      <c r="T590" s="19"/>
      <c r="U590" t="s">
        <v>1443</v>
      </c>
      <c r="AA590" s="1335" t="s">
        <v>1451</v>
      </c>
      <c r="AB590" s="1335"/>
      <c r="AC590" s="1335"/>
      <c r="AD590" s="1335"/>
      <c r="AE590" s="1335"/>
      <c r="AF590" s="1335"/>
      <c r="AG590" s="1335"/>
      <c r="AH590" s="1335"/>
      <c r="AI590" s="1335"/>
      <c r="AJ590" s="1335"/>
      <c r="AK590" s="1335"/>
      <c r="BB590" s="3"/>
      <c r="BC590" s="3"/>
    </row>
    <row r="591" spans="1:61" ht="12.95" customHeight="1">
      <c r="A591" s="19"/>
      <c r="B591" t="s">
        <v>1446</v>
      </c>
      <c r="N591" s="1229" t="s">
        <v>862</v>
      </c>
      <c r="O591" s="1229"/>
      <c r="T591" s="19"/>
      <c r="U591" t="s">
        <v>1446</v>
      </c>
      <c r="AG591" s="1229" t="s">
        <v>862</v>
      </c>
      <c r="AH591" s="1229"/>
      <c r="BB591" s="3"/>
      <c r="BC591" s="3"/>
    </row>
    <row r="592" spans="1:61" ht="12.95" customHeight="1">
      <c r="A592" s="19"/>
      <c r="T592" s="19"/>
      <c r="BB592" s="3"/>
      <c r="BC592" s="3"/>
    </row>
    <row r="593" spans="1:55" ht="12.95" customHeight="1">
      <c r="A593" s="47" t="s">
        <v>86</v>
      </c>
      <c r="B593" t="s">
        <v>1437</v>
      </c>
      <c r="G593" s="1349" t="str">
        <f>C566</f>
        <v>GP Equity</v>
      </c>
      <c r="H593" s="1349"/>
      <c r="I593" s="1349"/>
      <c r="J593" s="1349"/>
      <c r="K593" s="1349"/>
      <c r="L593" s="1349"/>
      <c r="M593" s="1349"/>
      <c r="N593" s="1349"/>
      <c r="O593" s="1349"/>
      <c r="P593" s="1349"/>
      <c r="Q593" s="1349"/>
      <c r="R593" s="1349"/>
      <c r="T593" s="47" t="s">
        <v>1426</v>
      </c>
      <c r="U593" t="s">
        <v>1437</v>
      </c>
      <c r="Z593" s="1349" t="str">
        <f>C567</f>
        <v>LP Equity</v>
      </c>
      <c r="AA593" s="1349"/>
      <c r="AB593" s="1349"/>
      <c r="AC593" s="1349"/>
      <c r="AD593" s="1349"/>
      <c r="AE593" s="1349"/>
      <c r="AF593" s="1349"/>
      <c r="AG593" s="1349"/>
      <c r="AH593" s="1349"/>
      <c r="AI593" s="1349"/>
      <c r="AJ593" s="1349"/>
      <c r="AK593" s="1349"/>
      <c r="BB593" s="3"/>
      <c r="BC593" s="3"/>
    </row>
    <row r="594" spans="1:55" ht="12.95" customHeight="1">
      <c r="A594" s="19"/>
      <c r="B594" t="s">
        <v>1083</v>
      </c>
      <c r="G594" s="1335" t="s">
        <v>1084</v>
      </c>
      <c r="H594" s="1335"/>
      <c r="I594" s="1335"/>
      <c r="J594" s="1335"/>
      <c r="K594" s="1335"/>
      <c r="L594" s="1335"/>
      <c r="M594" s="1335"/>
      <c r="N594" s="1335"/>
      <c r="O594" s="1335"/>
      <c r="P594" s="1335"/>
      <c r="Q594" s="1335"/>
      <c r="R594" s="1335"/>
      <c r="T594" s="19"/>
      <c r="U594" t="s">
        <v>1083</v>
      </c>
      <c r="Z594" s="1335" t="s">
        <v>1173</v>
      </c>
      <c r="AA594" s="1335"/>
      <c r="AB594" s="1335"/>
      <c r="AC594" s="1335"/>
      <c r="AD594" s="1335"/>
      <c r="AE594" s="1335"/>
      <c r="AF594" s="1335"/>
      <c r="AG594" s="1335"/>
      <c r="AH594" s="1335"/>
      <c r="AI594" s="1335"/>
      <c r="AJ594" s="1335"/>
      <c r="AK594" s="1335"/>
      <c r="BB594" s="3"/>
      <c r="BC594" s="3"/>
    </row>
    <row r="595" spans="1:55" ht="12.95" customHeight="1">
      <c r="A595" s="19"/>
      <c r="B595" t="s">
        <v>947</v>
      </c>
      <c r="G595" s="1335" t="s">
        <v>1452</v>
      </c>
      <c r="H595" s="1335"/>
      <c r="I595" s="1335"/>
      <c r="J595" s="1335"/>
      <c r="K595" s="1335"/>
      <c r="L595" s="1335"/>
      <c r="M595" s="1335"/>
      <c r="N595" s="1335"/>
      <c r="O595" s="1335"/>
      <c r="P595" s="1335"/>
      <c r="Q595" s="1335"/>
      <c r="R595" s="1335"/>
      <c r="T595" s="19"/>
      <c r="U595" t="s">
        <v>947</v>
      </c>
      <c r="Z595" s="1350"/>
      <c r="AA595" s="1350"/>
      <c r="AB595" s="1350"/>
      <c r="AC595" s="1350"/>
      <c r="AD595" s="1350"/>
      <c r="AE595" s="1350"/>
      <c r="AF595" s="1350"/>
      <c r="AG595" s="1350"/>
      <c r="AH595" s="1350"/>
      <c r="AI595" s="1350"/>
      <c r="AJ595" s="1350"/>
      <c r="AK595" s="1350"/>
      <c r="BB595" s="3"/>
      <c r="BC595" s="3"/>
    </row>
    <row r="596" spans="1:55" ht="12.95" customHeight="1">
      <c r="A596" s="19"/>
      <c r="B596" t="s">
        <v>1440</v>
      </c>
      <c r="G596" s="1335" t="s">
        <v>806</v>
      </c>
      <c r="H596" s="1335"/>
      <c r="I596" s="1335"/>
      <c r="J596" s="1335"/>
      <c r="K596" s="1335"/>
      <c r="L596" s="1335"/>
      <c r="M596" s="1335"/>
      <c r="N596" s="1335"/>
      <c r="O596" s="1335"/>
      <c r="P596" s="1335"/>
      <c r="Q596" s="1335"/>
      <c r="R596" s="1335"/>
      <c r="T596" s="19"/>
      <c r="U596" t="s">
        <v>1440</v>
      </c>
      <c r="Z596" s="1350"/>
      <c r="AA596" s="1350"/>
      <c r="AB596" s="1350"/>
      <c r="AC596" s="1350"/>
      <c r="AD596" s="1350"/>
      <c r="AE596" s="1350"/>
      <c r="AF596" s="1350"/>
      <c r="AG596" s="1350"/>
      <c r="AH596" s="1350"/>
      <c r="AI596" s="1350"/>
      <c r="AJ596" s="1350"/>
      <c r="AK596" s="1350"/>
    </row>
    <row r="597" spans="1:55" ht="12.95" customHeight="1">
      <c r="A597" s="19"/>
      <c r="B597" t="s">
        <v>840</v>
      </c>
      <c r="G597" s="1334" t="s">
        <v>1142</v>
      </c>
      <c r="H597" s="1334"/>
      <c r="I597" s="1334"/>
      <c r="J597" s="1334"/>
      <c r="K597" s="1334"/>
      <c r="L597" s="1334"/>
      <c r="O597" s="918" t="s">
        <v>1088</v>
      </c>
      <c r="P597" s="1274"/>
      <c r="Q597" s="1274"/>
      <c r="R597" s="1274"/>
      <c r="T597" s="19"/>
      <c r="U597" t="s">
        <v>840</v>
      </c>
      <c r="Z597" s="1334"/>
      <c r="AA597" s="1334"/>
      <c r="AB597" s="1334"/>
      <c r="AC597" s="1334"/>
      <c r="AD597" s="1334"/>
      <c r="AE597" s="1334"/>
      <c r="AH597" s="918" t="s">
        <v>1088</v>
      </c>
      <c r="AI597" s="1274"/>
      <c r="AJ597" s="1274"/>
      <c r="AK597" s="1274"/>
      <c r="AZ597" s="3"/>
      <c r="BA597" s="3"/>
      <c r="BB597" s="3"/>
      <c r="BC597" s="3"/>
    </row>
    <row r="598" spans="1:55" ht="12.95" customHeight="1">
      <c r="A598" s="19"/>
      <c r="B598" t="s">
        <v>1443</v>
      </c>
      <c r="H598" s="1335"/>
      <c r="I598" s="1335"/>
      <c r="J598" s="1335"/>
      <c r="K598" s="1335"/>
      <c r="L598" s="1335"/>
      <c r="M598" s="1335"/>
      <c r="N598" s="1335"/>
      <c r="O598" s="1335"/>
      <c r="P598" s="1335"/>
      <c r="Q598" s="1335"/>
      <c r="R598" s="1335"/>
      <c r="T598" s="19"/>
      <c r="U598" t="s">
        <v>1443</v>
      </c>
      <c r="AA598" s="1335"/>
      <c r="AB598" s="1335"/>
      <c r="AC598" s="1335"/>
      <c r="AD598" s="1335"/>
      <c r="AE598" s="1335"/>
      <c r="AF598" s="1335"/>
      <c r="AG598" s="1335"/>
      <c r="AH598" s="1335"/>
      <c r="AI598" s="1335"/>
      <c r="AJ598" s="1335"/>
      <c r="AK598" s="1335"/>
      <c r="AZ598" s="3"/>
      <c r="BA598" s="3"/>
      <c r="BB598" s="3"/>
      <c r="BC598" s="3"/>
    </row>
    <row r="599" spans="1:55" ht="12.95" customHeight="1">
      <c r="A599" s="19"/>
      <c r="B599" t="s">
        <v>1446</v>
      </c>
      <c r="N599" s="1229" t="s">
        <v>862</v>
      </c>
      <c r="O599" s="1229"/>
      <c r="T599" s="19"/>
      <c r="U599" t="s">
        <v>1446</v>
      </c>
      <c r="AG599" s="1229" t="s">
        <v>701</v>
      </c>
      <c r="AH599" s="1229"/>
      <c r="AZ599" s="3"/>
      <c r="BA599" s="3"/>
      <c r="BB599" s="3"/>
      <c r="BC599" s="3"/>
    </row>
    <row r="600" spans="1:55" ht="12.95" customHeight="1">
      <c r="A600" s="19"/>
      <c r="T600" s="19"/>
      <c r="AZ600" s="3"/>
      <c r="BA600" s="3"/>
      <c r="BB600" s="3"/>
      <c r="BC600" s="3"/>
    </row>
    <row r="601" spans="1:55" ht="12.95" customHeight="1">
      <c r="A601" s="47" t="s">
        <v>1428</v>
      </c>
      <c r="B601" t="s">
        <v>1437</v>
      </c>
      <c r="G601" s="1349" t="str">
        <f>C568</f>
        <v>Deferred Developer Fee</v>
      </c>
      <c r="H601" s="1349"/>
      <c r="I601" s="1349"/>
      <c r="J601" s="1349"/>
      <c r="K601" s="1349"/>
      <c r="L601" s="1349"/>
      <c r="M601" s="1349"/>
      <c r="N601" s="1349"/>
      <c r="O601" s="1349"/>
      <c r="P601" s="1349"/>
      <c r="Q601" s="1349"/>
      <c r="R601" s="1349"/>
      <c r="T601" s="47" t="s">
        <v>1430</v>
      </c>
      <c r="U601" t="s">
        <v>1437</v>
      </c>
      <c r="Z601" s="1349" t="str">
        <f>C569</f>
        <v>Costs Deferred to Perm Conversion</v>
      </c>
      <c r="AA601" s="1349"/>
      <c r="AB601" s="1349"/>
      <c r="AC601" s="1349"/>
      <c r="AD601" s="1349"/>
      <c r="AE601" s="1349"/>
      <c r="AF601" s="1349"/>
      <c r="AG601" s="1349"/>
      <c r="AH601" s="1349"/>
      <c r="AI601" s="1349"/>
      <c r="AJ601" s="1349"/>
      <c r="AK601" s="1349"/>
      <c r="AZ601" s="3"/>
      <c r="BA601" s="3"/>
      <c r="BB601" s="3"/>
      <c r="BC601" s="3"/>
    </row>
    <row r="602" spans="1:55" s="4" customFormat="1" ht="12.95" customHeight="1">
      <c r="A602" s="19"/>
      <c r="B602" t="s">
        <v>1083</v>
      </c>
      <c r="C602"/>
      <c r="D602"/>
      <c r="E602"/>
      <c r="F602"/>
      <c r="G602" s="1335" t="s">
        <v>1084</v>
      </c>
      <c r="H602" s="1335"/>
      <c r="I602" s="1335"/>
      <c r="J602" s="1335"/>
      <c r="K602" s="1335"/>
      <c r="L602" s="1335"/>
      <c r="M602" s="1335"/>
      <c r="N602" s="1335"/>
      <c r="O602" s="1335"/>
      <c r="P602" s="1335"/>
      <c r="Q602" s="1335"/>
      <c r="R602" s="1335"/>
      <c r="S602"/>
      <c r="T602" s="19"/>
      <c r="U602" t="s">
        <v>1083</v>
      </c>
      <c r="V602"/>
      <c r="W602"/>
      <c r="X602"/>
      <c r="Y602"/>
      <c r="Z602" s="1335" t="s">
        <v>1084</v>
      </c>
      <c r="AA602" s="1335"/>
      <c r="AB602" s="1335"/>
      <c r="AC602" s="1335"/>
      <c r="AD602" s="1335"/>
      <c r="AE602" s="1335"/>
      <c r="AF602" s="1335"/>
      <c r="AG602" s="1335"/>
      <c r="AH602" s="1335"/>
      <c r="AI602" s="1335"/>
      <c r="AJ602" s="1335"/>
      <c r="AK602" s="1335"/>
      <c r="AL602"/>
      <c r="AM602"/>
      <c r="AN602"/>
      <c r="AO602"/>
      <c r="AP602"/>
      <c r="AQ602"/>
      <c r="AR602"/>
      <c r="AS602"/>
      <c r="AT602"/>
      <c r="AU602"/>
      <c r="AV602"/>
      <c r="AW602"/>
      <c r="AX602"/>
      <c r="AY602"/>
      <c r="AZ602" s="3"/>
      <c r="BA602" s="3"/>
      <c r="BB602" s="3"/>
      <c r="BC602" s="3"/>
    </row>
    <row r="603" spans="1:55" s="4" customFormat="1" ht="12.95" customHeight="1">
      <c r="A603" s="19"/>
      <c r="B603" t="s">
        <v>947</v>
      </c>
      <c r="C603"/>
      <c r="D603"/>
      <c r="E603"/>
      <c r="F603"/>
      <c r="G603" s="1335" t="s">
        <v>1452</v>
      </c>
      <c r="H603" s="1335"/>
      <c r="I603" s="1335"/>
      <c r="J603" s="1335"/>
      <c r="K603" s="1335"/>
      <c r="L603" s="1335"/>
      <c r="M603" s="1335"/>
      <c r="N603" s="1335"/>
      <c r="O603" s="1335"/>
      <c r="P603" s="1335"/>
      <c r="Q603" s="1335"/>
      <c r="R603" s="1335"/>
      <c r="S603"/>
      <c r="T603" s="19"/>
      <c r="U603" t="s">
        <v>947</v>
      </c>
      <c r="V603"/>
      <c r="W603"/>
      <c r="X603"/>
      <c r="Y603"/>
      <c r="Z603" s="1350" t="s">
        <v>1452</v>
      </c>
      <c r="AA603" s="1350"/>
      <c r="AB603" s="1350"/>
      <c r="AC603" s="1350"/>
      <c r="AD603" s="1350"/>
      <c r="AE603" s="1350"/>
      <c r="AF603" s="1350"/>
      <c r="AG603" s="1350"/>
      <c r="AH603" s="1350"/>
      <c r="AI603" s="1350"/>
      <c r="AJ603" s="1350"/>
      <c r="AK603" s="1350"/>
      <c r="AL603"/>
      <c r="AM603"/>
      <c r="AN603"/>
      <c r="AO603"/>
      <c r="AP603"/>
      <c r="AQ603"/>
      <c r="AR603"/>
      <c r="AS603"/>
      <c r="AT603"/>
      <c r="AU603"/>
      <c r="AV603"/>
      <c r="AW603"/>
      <c r="AX603"/>
      <c r="AY603"/>
      <c r="AZ603" s="3"/>
      <c r="BA603" s="3"/>
      <c r="BB603" s="3"/>
      <c r="BC603" s="3"/>
    </row>
    <row r="604" spans="1:55" s="4" customFormat="1" ht="12.95" customHeight="1">
      <c r="A604" s="19"/>
      <c r="B604" t="s">
        <v>1440</v>
      </c>
      <c r="C604"/>
      <c r="D604"/>
      <c r="E604"/>
      <c r="F604"/>
      <c r="G604" s="1335" t="s">
        <v>806</v>
      </c>
      <c r="H604" s="1335"/>
      <c r="I604" s="1335"/>
      <c r="J604" s="1335"/>
      <c r="K604" s="1335"/>
      <c r="L604" s="1335"/>
      <c r="M604" s="1335"/>
      <c r="N604" s="1335"/>
      <c r="O604" s="1335"/>
      <c r="P604" s="1335"/>
      <c r="Q604" s="1335"/>
      <c r="R604" s="1335"/>
      <c r="S604"/>
      <c r="T604" s="19"/>
      <c r="U604" t="s">
        <v>1440</v>
      </c>
      <c r="V604"/>
      <c r="W604"/>
      <c r="X604"/>
      <c r="Y604"/>
      <c r="Z604" s="1350" t="s">
        <v>806</v>
      </c>
      <c r="AA604" s="1350"/>
      <c r="AB604" s="1350"/>
      <c r="AC604" s="1350"/>
      <c r="AD604" s="1350"/>
      <c r="AE604" s="1350"/>
      <c r="AF604" s="1350"/>
      <c r="AG604" s="1350"/>
      <c r="AH604" s="1350"/>
      <c r="AI604" s="1350"/>
      <c r="AJ604" s="1350"/>
      <c r="AK604" s="1350"/>
      <c r="AL604"/>
      <c r="AM604"/>
      <c r="AN604"/>
      <c r="AO604"/>
      <c r="AP604"/>
      <c r="AQ604"/>
      <c r="AR604"/>
      <c r="AS604"/>
      <c r="AT604"/>
      <c r="AU604"/>
      <c r="AV604"/>
      <c r="AW604"/>
      <c r="AX604"/>
      <c r="AY604"/>
      <c r="AZ604" s="3"/>
      <c r="BA604" s="3"/>
      <c r="BB604" s="3"/>
      <c r="BC604" s="3"/>
    </row>
    <row r="605" spans="1:55" s="4" customFormat="1" ht="12.95" customHeight="1">
      <c r="A605" s="19"/>
      <c r="B605" t="s">
        <v>840</v>
      </c>
      <c r="C605"/>
      <c r="D605"/>
      <c r="E605"/>
      <c r="F605"/>
      <c r="G605" s="1334" t="s">
        <v>1142</v>
      </c>
      <c r="H605" s="1334"/>
      <c r="I605" s="1334"/>
      <c r="J605" s="1334"/>
      <c r="K605" s="1334"/>
      <c r="L605" s="1334"/>
      <c r="M605"/>
      <c r="N605"/>
      <c r="O605" s="918" t="s">
        <v>1088</v>
      </c>
      <c r="P605" s="1274"/>
      <c r="Q605" s="1274"/>
      <c r="R605" s="1274"/>
      <c r="S605"/>
      <c r="T605" s="19"/>
      <c r="U605" t="s">
        <v>840</v>
      </c>
      <c r="V605"/>
      <c r="W605"/>
      <c r="X605"/>
      <c r="Y605"/>
      <c r="Z605" s="1334" t="s">
        <v>1142</v>
      </c>
      <c r="AA605" s="1334"/>
      <c r="AB605" s="1334"/>
      <c r="AC605" s="1334"/>
      <c r="AD605" s="1334"/>
      <c r="AE605" s="1334"/>
      <c r="AF605"/>
      <c r="AG605"/>
      <c r="AH605" s="918" t="s">
        <v>1088</v>
      </c>
      <c r="AI605" s="1274"/>
      <c r="AJ605" s="1274"/>
      <c r="AK605" s="1274"/>
      <c r="AL605"/>
      <c r="AM605"/>
      <c r="AN605"/>
      <c r="AO605"/>
      <c r="AP605"/>
      <c r="AQ605"/>
      <c r="AR605"/>
      <c r="AS605"/>
      <c r="AT605"/>
      <c r="AU605"/>
      <c r="AV605"/>
      <c r="AW605"/>
      <c r="AX605"/>
      <c r="AY605"/>
      <c r="AZ605" s="3"/>
      <c r="BA605" s="3"/>
      <c r="BB605" s="3"/>
      <c r="BC605" s="3"/>
    </row>
    <row r="606" spans="1:55" s="4" customFormat="1" ht="12.95" customHeight="1">
      <c r="A606" s="19"/>
      <c r="B606" t="s">
        <v>1443</v>
      </c>
      <c r="C606"/>
      <c r="D606"/>
      <c r="E606"/>
      <c r="F606"/>
      <c r="G606"/>
      <c r="H606" s="1335"/>
      <c r="I606" s="1335"/>
      <c r="J606" s="1335"/>
      <c r="K606" s="1335"/>
      <c r="L606" s="1335"/>
      <c r="M606" s="1335"/>
      <c r="N606" s="1335"/>
      <c r="O606" s="1335"/>
      <c r="P606" s="1335"/>
      <c r="Q606" s="1335"/>
      <c r="R606" s="1335"/>
      <c r="S606"/>
      <c r="T606" s="19"/>
      <c r="U606" t="s">
        <v>1443</v>
      </c>
      <c r="V606"/>
      <c r="W606"/>
      <c r="X606"/>
      <c r="Y606"/>
      <c r="Z606"/>
      <c r="AA606" s="1335"/>
      <c r="AB606" s="1335"/>
      <c r="AC606" s="1335"/>
      <c r="AD606" s="1335"/>
      <c r="AE606" s="1335"/>
      <c r="AF606" s="1335"/>
      <c r="AG606" s="1335"/>
      <c r="AH606" s="1335"/>
      <c r="AI606" s="1335"/>
      <c r="AJ606" s="1335"/>
      <c r="AK606" s="1335"/>
      <c r="AL606"/>
      <c r="AM606"/>
      <c r="AN606"/>
      <c r="AO606"/>
      <c r="AP606"/>
      <c r="AQ606"/>
      <c r="AR606"/>
      <c r="AS606"/>
      <c r="AT606"/>
      <c r="AU606"/>
      <c r="AV606"/>
      <c r="AW606"/>
      <c r="AX606"/>
      <c r="AY606"/>
      <c r="AZ606" s="3"/>
      <c r="BA606" s="3"/>
      <c r="BB606" s="3"/>
      <c r="BC606" s="3"/>
    </row>
    <row r="607" spans="1:55" ht="12.95" customHeight="1">
      <c r="A607" s="19"/>
      <c r="B607" t="s">
        <v>1446</v>
      </c>
      <c r="N607" s="1229" t="s">
        <v>862</v>
      </c>
      <c r="O607" s="1229"/>
      <c r="T607" s="19"/>
      <c r="U607" t="s">
        <v>1446</v>
      </c>
      <c r="AG607" s="1229" t="s">
        <v>862</v>
      </c>
      <c r="AH607" s="1229"/>
      <c r="BB607" s="3"/>
      <c r="BC607" s="3"/>
    </row>
    <row r="608" spans="1:55" ht="12.95" customHeight="1">
      <c r="A608" s="19"/>
      <c r="T608" s="19"/>
      <c r="BB608" s="3"/>
      <c r="BC608" s="3"/>
    </row>
    <row r="609" spans="1:55" ht="12.95" customHeight="1">
      <c r="A609" s="47" t="s">
        <v>1432</v>
      </c>
      <c r="B609" t="s">
        <v>1437</v>
      </c>
      <c r="G609" s="1349">
        <f>C570</f>
        <v>0</v>
      </c>
      <c r="H609" s="1349"/>
      <c r="I609" s="1349"/>
      <c r="J609" s="1349"/>
      <c r="K609" s="1349"/>
      <c r="L609" s="1349"/>
      <c r="M609" s="1349"/>
      <c r="N609" s="1349"/>
      <c r="O609" s="1349"/>
      <c r="P609" s="1349"/>
      <c r="Q609" s="1349"/>
      <c r="R609" s="1349"/>
      <c r="T609" s="47" t="s">
        <v>1433</v>
      </c>
      <c r="U609" t="s">
        <v>1437</v>
      </c>
      <c r="Z609" s="1349">
        <f>C571</f>
        <v>0</v>
      </c>
      <c r="AA609" s="1349"/>
      <c r="AB609" s="1349"/>
      <c r="AC609" s="1349"/>
      <c r="AD609" s="1349"/>
      <c r="AE609" s="1349"/>
      <c r="AF609" s="1349"/>
      <c r="AG609" s="1349"/>
      <c r="AH609" s="1349"/>
      <c r="AI609" s="1349"/>
      <c r="AJ609" s="1349"/>
      <c r="AK609" s="1349"/>
      <c r="BB609" s="3"/>
      <c r="BC609" s="3"/>
    </row>
    <row r="610" spans="1:55" ht="12.95" customHeight="1">
      <c r="A610" s="19"/>
      <c r="B610" t="s">
        <v>1083</v>
      </c>
      <c r="G610" s="1335"/>
      <c r="H610" s="1335"/>
      <c r="I610" s="1335"/>
      <c r="J610" s="1335"/>
      <c r="K610" s="1335"/>
      <c r="L610" s="1335"/>
      <c r="M610" s="1335"/>
      <c r="N610" s="1335"/>
      <c r="O610" s="1335"/>
      <c r="P610" s="1335"/>
      <c r="Q610" s="1335"/>
      <c r="R610" s="1335"/>
      <c r="T610" s="19"/>
      <c r="U610" t="s">
        <v>1083</v>
      </c>
      <c r="Z610" s="1335"/>
      <c r="AA610" s="1335"/>
      <c r="AB610" s="1335"/>
      <c r="AC610" s="1335"/>
      <c r="AD610" s="1335"/>
      <c r="AE610" s="1335"/>
      <c r="AF610" s="1335"/>
      <c r="AG610" s="1335"/>
      <c r="AH610" s="1335"/>
      <c r="AI610" s="1335"/>
      <c r="AJ610" s="1335"/>
      <c r="AK610" s="1335"/>
      <c r="AZ610" s="3"/>
      <c r="BA610" s="3"/>
      <c r="BB610" s="3"/>
      <c r="BC610" s="3"/>
    </row>
    <row r="611" spans="1:55" ht="12.95" customHeight="1">
      <c r="A611" s="19"/>
      <c r="B611" t="s">
        <v>947</v>
      </c>
      <c r="G611" s="1335"/>
      <c r="H611" s="1335"/>
      <c r="I611" s="1335"/>
      <c r="J611" s="1335"/>
      <c r="K611" s="1335"/>
      <c r="L611" s="1335"/>
      <c r="M611" s="1335"/>
      <c r="N611" s="1335"/>
      <c r="O611" s="1335"/>
      <c r="P611" s="1335"/>
      <c r="Q611" s="1335"/>
      <c r="R611" s="1335"/>
      <c r="T611" s="19"/>
      <c r="U611" t="s">
        <v>947</v>
      </c>
      <c r="Z611" s="1350"/>
      <c r="AA611" s="1350"/>
      <c r="AB611" s="1350"/>
      <c r="AC611" s="1350"/>
      <c r="AD611" s="1350"/>
      <c r="AE611" s="1350"/>
      <c r="AF611" s="1350"/>
      <c r="AG611" s="1350"/>
      <c r="AH611" s="1350"/>
      <c r="AI611" s="1350"/>
      <c r="AJ611" s="1350"/>
      <c r="AK611" s="1350"/>
      <c r="AZ611" s="3"/>
      <c r="BA611" s="3"/>
      <c r="BB611" s="3"/>
      <c r="BC611" s="3"/>
    </row>
    <row r="612" spans="1:55" ht="12.95" customHeight="1">
      <c r="A612" s="19"/>
      <c r="B612" t="s">
        <v>1440</v>
      </c>
      <c r="G612" s="1335"/>
      <c r="H612" s="1335"/>
      <c r="I612" s="1335"/>
      <c r="J612" s="1335"/>
      <c r="K612" s="1335"/>
      <c r="L612" s="1335"/>
      <c r="M612" s="1335"/>
      <c r="N612" s="1335"/>
      <c r="O612" s="1335"/>
      <c r="P612" s="1335"/>
      <c r="Q612" s="1335"/>
      <c r="R612" s="1335"/>
      <c r="T612" s="19"/>
      <c r="U612" t="s">
        <v>1440</v>
      </c>
      <c r="Z612" s="1350"/>
      <c r="AA612" s="1350"/>
      <c r="AB612" s="1350"/>
      <c r="AC612" s="1350"/>
      <c r="AD612" s="1350"/>
      <c r="AE612" s="1350"/>
      <c r="AF612" s="1350"/>
      <c r="AG612" s="1350"/>
      <c r="AH612" s="1350"/>
      <c r="AI612" s="1350"/>
      <c r="AJ612" s="1350"/>
      <c r="AK612" s="1350"/>
      <c r="AZ612" s="3"/>
      <c r="BA612" s="3"/>
      <c r="BB612" s="3"/>
      <c r="BC612" s="3"/>
    </row>
    <row r="613" spans="1:55" s="4" customFormat="1" ht="12.95" customHeight="1">
      <c r="A613" s="19"/>
      <c r="B613" t="s">
        <v>840</v>
      </c>
      <c r="C613"/>
      <c r="D613"/>
      <c r="E613"/>
      <c r="F613"/>
      <c r="G613" s="1334"/>
      <c r="H613" s="1334"/>
      <c r="I613" s="1334"/>
      <c r="J613" s="1334"/>
      <c r="K613" s="1334"/>
      <c r="L613" s="1334"/>
      <c r="M613"/>
      <c r="N613"/>
      <c r="O613" s="918" t="s">
        <v>1088</v>
      </c>
      <c r="P613" s="1274"/>
      <c r="Q613" s="1274"/>
      <c r="R613" s="1274"/>
      <c r="S613"/>
      <c r="T613" s="19"/>
      <c r="U613" t="s">
        <v>840</v>
      </c>
      <c r="V613"/>
      <c r="W613"/>
      <c r="X613"/>
      <c r="Y613"/>
      <c r="Z613" s="1334"/>
      <c r="AA613" s="1334"/>
      <c r="AB613" s="1334"/>
      <c r="AC613" s="1334"/>
      <c r="AD613" s="1334"/>
      <c r="AE613" s="1334"/>
      <c r="AF613"/>
      <c r="AG613"/>
      <c r="AH613" s="918" t="s">
        <v>1088</v>
      </c>
      <c r="AI613" s="1274"/>
      <c r="AJ613" s="1274"/>
      <c r="AK613" s="1274"/>
      <c r="AL613"/>
      <c r="AM613"/>
      <c r="AN613"/>
      <c r="AO613"/>
      <c r="AP613"/>
      <c r="AQ613"/>
      <c r="AR613"/>
      <c r="AS613"/>
      <c r="AT613"/>
      <c r="AU613"/>
      <c r="AV613"/>
      <c r="AW613"/>
      <c r="AX613"/>
      <c r="AY613"/>
      <c r="AZ613" s="3"/>
      <c r="BA613" s="3"/>
      <c r="BB613" s="3"/>
      <c r="BC613" s="3"/>
    </row>
    <row r="614" spans="1:55" s="4" customFormat="1" ht="12.95" customHeight="1">
      <c r="A614" s="19"/>
      <c r="B614" t="s">
        <v>1443</v>
      </c>
      <c r="C614"/>
      <c r="D614"/>
      <c r="E614"/>
      <c r="F614"/>
      <c r="G614"/>
      <c r="H614" s="1335"/>
      <c r="I614" s="1335"/>
      <c r="J614" s="1335"/>
      <c r="K614" s="1335"/>
      <c r="L614" s="1335"/>
      <c r="M614" s="1335"/>
      <c r="N614" s="1335"/>
      <c r="O614" s="1335"/>
      <c r="P614" s="1335"/>
      <c r="Q614" s="1335"/>
      <c r="R614" s="1335"/>
      <c r="S614"/>
      <c r="T614" s="19"/>
      <c r="U614" t="s">
        <v>1443</v>
      </c>
      <c r="V614"/>
      <c r="W614"/>
      <c r="X614"/>
      <c r="Y614"/>
      <c r="Z614"/>
      <c r="AA614" s="1335"/>
      <c r="AB614" s="1335"/>
      <c r="AC614" s="1335"/>
      <c r="AD614" s="1335"/>
      <c r="AE614" s="1335"/>
      <c r="AF614" s="1335"/>
      <c r="AG614" s="1335"/>
      <c r="AH614" s="1335"/>
      <c r="AI614" s="1335"/>
      <c r="AJ614" s="1335"/>
      <c r="AK614" s="1335"/>
      <c r="AL614"/>
      <c r="AM614"/>
      <c r="AN614"/>
      <c r="AO614"/>
      <c r="AP614"/>
      <c r="AQ614"/>
      <c r="AR614"/>
      <c r="AS614"/>
      <c r="AT614"/>
      <c r="AU614"/>
      <c r="AV614"/>
      <c r="AW614"/>
      <c r="AX614"/>
      <c r="AY614"/>
      <c r="AZ614" s="3"/>
      <c r="BA614" s="3"/>
      <c r="BB614" s="3"/>
      <c r="BC614" s="3"/>
    </row>
    <row r="615" spans="1:55" s="4" customFormat="1" ht="12.95" customHeight="1">
      <c r="A615" s="19"/>
      <c r="B615" t="s">
        <v>1446</v>
      </c>
      <c r="C615"/>
      <c r="D615"/>
      <c r="E615"/>
      <c r="F615"/>
      <c r="G615"/>
      <c r="H615"/>
      <c r="I615"/>
      <c r="J615"/>
      <c r="K615"/>
      <c r="L615"/>
      <c r="M615"/>
      <c r="N615" s="1229" t="s">
        <v>701</v>
      </c>
      <c r="O615" s="1229"/>
      <c r="P615"/>
      <c r="Q615"/>
      <c r="R615"/>
      <c r="S615"/>
      <c r="T615" s="19"/>
      <c r="U615" t="s">
        <v>1446</v>
      </c>
      <c r="V615"/>
      <c r="W615"/>
      <c r="X615"/>
      <c r="Y615"/>
      <c r="Z615"/>
      <c r="AA615"/>
      <c r="AB615"/>
      <c r="AC615"/>
      <c r="AD615"/>
      <c r="AE615"/>
      <c r="AF615"/>
      <c r="AG615" s="1229" t="s">
        <v>701</v>
      </c>
      <c r="AH615" s="1229"/>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1434</v>
      </c>
      <c r="B617" t="s">
        <v>1437</v>
      </c>
      <c r="G617" s="1349">
        <f>C572</f>
        <v>0</v>
      </c>
      <c r="H617" s="1349"/>
      <c r="I617" s="1349"/>
      <c r="J617" s="1349"/>
      <c r="K617" s="1349"/>
      <c r="L617" s="1349"/>
      <c r="M617" s="1349"/>
      <c r="N617" s="1349"/>
      <c r="O617" s="1349"/>
      <c r="P617" s="1349"/>
      <c r="Q617" s="1349"/>
      <c r="R617" s="1349"/>
      <c r="T617" s="47" t="s">
        <v>1435</v>
      </c>
      <c r="U617" t="s">
        <v>1437</v>
      </c>
      <c r="Z617" s="1349">
        <f>C573</f>
        <v>0</v>
      </c>
      <c r="AA617" s="1349"/>
      <c r="AB617" s="1349"/>
      <c r="AC617" s="1349"/>
      <c r="AD617" s="1349"/>
      <c r="AE617" s="1349"/>
      <c r="AF617" s="1349"/>
      <c r="AG617" s="1349"/>
      <c r="AH617" s="1349"/>
      <c r="AI617" s="1349"/>
      <c r="AJ617" s="1349"/>
      <c r="AK617" s="1349"/>
      <c r="AZ617" s="3"/>
      <c r="BA617" s="3"/>
      <c r="BB617" s="3"/>
      <c r="BC617" s="3"/>
    </row>
    <row r="618" spans="1:55" ht="12.95" customHeight="1">
      <c r="B618" t="s">
        <v>1083</v>
      </c>
      <c r="G618" s="1335"/>
      <c r="H618" s="1335"/>
      <c r="I618" s="1335"/>
      <c r="J618" s="1335"/>
      <c r="K618" s="1335"/>
      <c r="L618" s="1335"/>
      <c r="M618" s="1335"/>
      <c r="N618" s="1335"/>
      <c r="O618" s="1335"/>
      <c r="P618" s="1335"/>
      <c r="Q618" s="1335"/>
      <c r="R618" s="1335"/>
      <c r="U618" t="s">
        <v>1083</v>
      </c>
      <c r="Z618" s="1335"/>
      <c r="AA618" s="1335"/>
      <c r="AB618" s="1335"/>
      <c r="AC618" s="1335"/>
      <c r="AD618" s="1335"/>
      <c r="AE618" s="1335"/>
      <c r="AF618" s="1335"/>
      <c r="AG618" s="1335"/>
      <c r="AH618" s="1335"/>
      <c r="AI618" s="1335"/>
      <c r="AJ618" s="1335"/>
      <c r="AK618" s="1335"/>
      <c r="AZ618" s="3"/>
      <c r="BA618" s="3"/>
      <c r="BB618" s="3"/>
      <c r="BC618" s="3"/>
    </row>
    <row r="619" spans="1:55" ht="12.95" customHeight="1">
      <c r="B619" t="s">
        <v>947</v>
      </c>
      <c r="G619" s="1335"/>
      <c r="H619" s="1335"/>
      <c r="I619" s="1335"/>
      <c r="J619" s="1335"/>
      <c r="K619" s="1335"/>
      <c r="L619" s="1335"/>
      <c r="M619" s="1335"/>
      <c r="N619" s="1335"/>
      <c r="O619" s="1335"/>
      <c r="P619" s="1335"/>
      <c r="Q619" s="1335"/>
      <c r="R619" s="1335"/>
      <c r="U619" t="s">
        <v>947</v>
      </c>
      <c r="Z619" s="1350"/>
      <c r="AA619" s="1350"/>
      <c r="AB619" s="1350"/>
      <c r="AC619" s="1350"/>
      <c r="AD619" s="1350"/>
      <c r="AE619" s="1350"/>
      <c r="AF619" s="1350"/>
      <c r="AG619" s="1350"/>
      <c r="AH619" s="1350"/>
      <c r="AI619" s="1350"/>
      <c r="AJ619" s="1350"/>
      <c r="AK619" s="1350"/>
      <c r="AZ619" s="3"/>
      <c r="BA619" s="3"/>
      <c r="BB619" s="3"/>
      <c r="BC619" s="3"/>
    </row>
    <row r="620" spans="1:55" ht="12.95" customHeight="1">
      <c r="B620" t="s">
        <v>1440</v>
      </c>
      <c r="G620" s="1335"/>
      <c r="H620" s="1335"/>
      <c r="I620" s="1335"/>
      <c r="J620" s="1335"/>
      <c r="K620" s="1335"/>
      <c r="L620" s="1335"/>
      <c r="M620" s="1335"/>
      <c r="N620" s="1335"/>
      <c r="O620" s="1335"/>
      <c r="P620" s="1335"/>
      <c r="Q620" s="1335"/>
      <c r="R620" s="1335"/>
      <c r="U620" t="s">
        <v>1440</v>
      </c>
      <c r="Z620" s="1350"/>
      <c r="AA620" s="1350"/>
      <c r="AB620" s="1350"/>
      <c r="AC620" s="1350"/>
      <c r="AD620" s="1350"/>
      <c r="AE620" s="1350"/>
      <c r="AF620" s="1350"/>
      <c r="AG620" s="1350"/>
      <c r="AH620" s="1350"/>
      <c r="AI620" s="1350"/>
      <c r="AJ620" s="1350"/>
      <c r="AK620" s="1350"/>
      <c r="AZ620" s="3"/>
      <c r="BA620" s="3"/>
      <c r="BB620" s="3"/>
      <c r="BC620" s="3"/>
    </row>
    <row r="621" spans="1:55" ht="12.95" customHeight="1">
      <c r="B621" t="s">
        <v>840</v>
      </c>
      <c r="G621" s="1334"/>
      <c r="H621" s="1334"/>
      <c r="I621" s="1334"/>
      <c r="J621" s="1334"/>
      <c r="K621" s="1334"/>
      <c r="L621" s="1334"/>
      <c r="O621" s="918" t="s">
        <v>1088</v>
      </c>
      <c r="P621" s="1274"/>
      <c r="Q621" s="1274"/>
      <c r="R621" s="1274"/>
      <c r="U621" t="s">
        <v>840</v>
      </c>
      <c r="Z621" s="1334"/>
      <c r="AA621" s="1334"/>
      <c r="AB621" s="1334"/>
      <c r="AC621" s="1334"/>
      <c r="AD621" s="1334"/>
      <c r="AE621" s="1334"/>
      <c r="AH621" s="918" t="s">
        <v>1088</v>
      </c>
      <c r="AI621" s="1274"/>
      <c r="AJ621" s="1274"/>
      <c r="AK621" s="1274"/>
      <c r="AZ621" s="3"/>
      <c r="BA621" s="3"/>
      <c r="BB621" s="3"/>
      <c r="BC621" s="3"/>
    </row>
    <row r="622" spans="1:55" ht="12.95" customHeight="1">
      <c r="B622" t="s">
        <v>1443</v>
      </c>
      <c r="H622" s="1335"/>
      <c r="I622" s="1335"/>
      <c r="J622" s="1335"/>
      <c r="K622" s="1335"/>
      <c r="L622" s="1335"/>
      <c r="M622" s="1335"/>
      <c r="N622" s="1335"/>
      <c r="O622" s="1335"/>
      <c r="P622" s="1335"/>
      <c r="Q622" s="1335"/>
      <c r="R622" s="1335"/>
      <c r="U622" t="s">
        <v>1443</v>
      </c>
      <c r="AA622" s="1335"/>
      <c r="AB622" s="1335"/>
      <c r="AC622" s="1335"/>
      <c r="AD622" s="1335"/>
      <c r="AE622" s="1335"/>
      <c r="AF622" s="1335"/>
      <c r="AG622" s="1335"/>
      <c r="AH622" s="1335"/>
      <c r="AI622" s="1335"/>
      <c r="AJ622" s="1335"/>
      <c r="AK622" s="1335"/>
      <c r="AU622" s="791"/>
      <c r="AV622" s="791"/>
      <c r="AW622" s="791"/>
      <c r="AX622" s="791"/>
      <c r="AY622" s="791"/>
      <c r="AZ622" s="3"/>
      <c r="BA622" s="3"/>
      <c r="BB622" s="3"/>
      <c r="BC622" s="3"/>
    </row>
    <row r="623" spans="1:55" ht="12.95" customHeight="1">
      <c r="B623" t="s">
        <v>1446</v>
      </c>
      <c r="N623" s="1229" t="s">
        <v>701</v>
      </c>
      <c r="O623" s="1229"/>
      <c r="U623" t="s">
        <v>1446</v>
      </c>
      <c r="AG623" s="1229" t="s">
        <v>701</v>
      </c>
      <c r="AH623" s="1229"/>
      <c r="AU623" s="791"/>
      <c r="AV623" s="791"/>
      <c r="AW623" s="791"/>
      <c r="AX623" s="791"/>
      <c r="AY623" s="791"/>
      <c r="AZ623" s="3"/>
      <c r="BA623" s="3"/>
      <c r="BB623" s="3"/>
      <c r="BC623" s="3"/>
    </row>
    <row r="624" spans="1:55" ht="12.95" customHeight="1">
      <c r="AZ624" s="3"/>
      <c r="BA624" s="3"/>
      <c r="BB624" s="3"/>
      <c r="BC624" s="3"/>
    </row>
    <row r="625" spans="1:56" ht="12.95" customHeight="1">
      <c r="A625" s="1301" t="s">
        <v>1453</v>
      </c>
      <c r="B625" s="1301"/>
      <c r="C625" s="1301"/>
      <c r="D625" s="1301"/>
      <c r="E625" s="1301"/>
      <c r="F625" s="1301"/>
      <c r="G625" s="1301"/>
      <c r="H625" s="1301"/>
      <c r="I625" s="1301"/>
      <c r="J625" s="1301"/>
      <c r="K625" s="1301"/>
      <c r="L625" s="1301"/>
      <c r="M625" s="1301"/>
      <c r="N625" s="1301"/>
      <c r="O625" s="1301"/>
      <c r="P625" s="1301"/>
      <c r="Q625" s="1301"/>
      <c r="R625" s="1301"/>
      <c r="S625" s="1301"/>
      <c r="T625" s="1301"/>
      <c r="U625" s="1301"/>
      <c r="V625" s="1301"/>
      <c r="W625" s="1301"/>
      <c r="X625" s="1301"/>
      <c r="Y625" s="1301"/>
      <c r="Z625" s="1301"/>
      <c r="AA625" s="1301"/>
      <c r="AB625" s="1301"/>
      <c r="AC625" s="1301"/>
      <c r="AD625" s="1301"/>
      <c r="AE625" s="1301"/>
      <c r="AF625" s="1301"/>
      <c r="AG625" s="1301"/>
      <c r="AH625" s="1301"/>
      <c r="AI625" s="1301"/>
      <c r="AJ625" s="1301"/>
      <c r="AK625" s="1301"/>
      <c r="AL625" s="1301"/>
      <c r="AM625" s="1301"/>
      <c r="AN625" s="1301"/>
      <c r="AO625" s="1301"/>
      <c r="AP625" s="1301"/>
      <c r="AQ625" s="1301"/>
      <c r="AR625" s="1301"/>
      <c r="AS625" s="1301"/>
      <c r="AT625" s="1301"/>
      <c r="AZ625" s="3"/>
      <c r="BA625" s="3"/>
      <c r="BB625" s="3"/>
      <c r="BC625" s="3"/>
    </row>
    <row r="626" spans="1:56" ht="12.95" customHeight="1">
      <c r="A626" s="1301"/>
      <c r="B626" s="1301"/>
      <c r="C626" s="1301"/>
      <c r="D626" s="1301"/>
      <c r="E626" s="1301"/>
      <c r="F626" s="1301"/>
      <c r="G626" s="1301"/>
      <c r="H626" s="1301"/>
      <c r="I626" s="1301"/>
      <c r="J626" s="1301"/>
      <c r="K626" s="1301"/>
      <c r="L626" s="1301"/>
      <c r="M626" s="1301"/>
      <c r="N626" s="1301"/>
      <c r="O626" s="1301"/>
      <c r="P626" s="1301"/>
      <c r="Q626" s="1301"/>
      <c r="R626" s="1301"/>
      <c r="S626" s="1301"/>
      <c r="T626" s="1301"/>
      <c r="U626" s="1301"/>
      <c r="V626" s="1301"/>
      <c r="W626" s="1301"/>
      <c r="X626" s="1301"/>
      <c r="Y626" s="1301"/>
      <c r="Z626" s="1301"/>
      <c r="AA626" s="1301"/>
      <c r="AB626" s="1301"/>
      <c r="AC626" s="1301"/>
      <c r="AD626" s="1301"/>
      <c r="AE626" s="1301"/>
      <c r="AF626" s="1301"/>
      <c r="AG626" s="1301"/>
      <c r="AH626" s="1301"/>
      <c r="AI626" s="1301"/>
      <c r="AJ626" s="1301"/>
      <c r="AK626" s="1301"/>
      <c r="AL626" s="1301"/>
      <c r="AM626" s="1301"/>
      <c r="AN626" s="1301"/>
      <c r="AO626" s="1301"/>
      <c r="AP626" s="1301"/>
      <c r="AQ626" s="1301"/>
      <c r="AR626" s="1301"/>
      <c r="AS626" s="1301"/>
      <c r="AT626" s="1301"/>
      <c r="AZ626" s="3"/>
      <c r="BA626" s="3"/>
      <c r="BB626" s="3"/>
      <c r="BC626" s="3"/>
    </row>
    <row r="627" spans="1:56" ht="12.95" customHeight="1">
      <c r="AZ627" s="3"/>
      <c r="BA627" s="3"/>
      <c r="BB627" s="3"/>
      <c r="BC627" s="3"/>
    </row>
    <row r="628" spans="1:56" ht="12.95" customHeight="1">
      <c r="A628" s="2" t="s">
        <v>887</v>
      </c>
      <c r="B628" s="2"/>
      <c r="C628" s="2" t="s">
        <v>175</v>
      </c>
      <c r="AZ628" s="3"/>
      <c r="BA628" s="3"/>
      <c r="BB628" s="3"/>
      <c r="BC628" s="3"/>
    </row>
    <row r="629" spans="1:56" ht="12.95" customHeight="1">
      <c r="A629" s="2"/>
      <c r="B629" s="2"/>
      <c r="C629" s="2"/>
      <c r="AZ629" s="3"/>
      <c r="BA629" s="3"/>
      <c r="BB629" s="3"/>
      <c r="BC629" s="3"/>
    </row>
    <row r="630" spans="1:56" ht="12.95" customHeight="1">
      <c r="C630" s="2" t="s">
        <v>1409</v>
      </c>
      <c r="AZ630" s="3"/>
      <c r="BA630" s="3"/>
      <c r="BB630" s="3"/>
      <c r="BC630" s="3"/>
    </row>
    <row r="631" spans="1:56" ht="12.95" customHeight="1">
      <c r="B631" s="412"/>
      <c r="C631" s="2"/>
      <c r="AU631" s="3"/>
      <c r="AZ631" s="3"/>
      <c r="BA631" s="3"/>
      <c r="BB631" s="3"/>
      <c r="BC631" s="3"/>
    </row>
    <row r="632" spans="1:56" ht="12.95" customHeight="1">
      <c r="B632" s="1385" t="s">
        <v>1410</v>
      </c>
      <c r="C632" s="1385"/>
      <c r="D632" s="1385"/>
      <c r="E632" s="1385"/>
      <c r="F632" s="1385"/>
      <c r="G632" s="1385"/>
      <c r="H632" s="1385"/>
      <c r="I632" s="1385"/>
      <c r="J632" s="1385"/>
      <c r="K632" s="1385"/>
      <c r="L632" s="1385"/>
      <c r="M632" s="1344" t="s">
        <v>1411</v>
      </c>
      <c r="N632" s="1344"/>
      <c r="O632" s="1344"/>
      <c r="P632" s="1344"/>
      <c r="Q632" s="1344" t="s">
        <v>1454</v>
      </c>
      <c r="R632" s="1344"/>
      <c r="S632" s="1344"/>
      <c r="T632" s="1344" t="s">
        <v>1455</v>
      </c>
      <c r="U632" s="1344"/>
      <c r="V632" s="1344"/>
      <c r="W632" s="1577" t="s">
        <v>1414</v>
      </c>
      <c r="X632" s="1577"/>
      <c r="Y632" s="1577"/>
      <c r="Z632" s="1367" t="s">
        <v>1456</v>
      </c>
      <c r="AA632" s="1367"/>
      <c r="AB632" s="1368"/>
      <c r="AC632" s="1354" t="s">
        <v>1416</v>
      </c>
      <c r="AD632" s="1355"/>
      <c r="AE632" s="1356"/>
      <c r="AF632" s="1366" t="s">
        <v>1457</v>
      </c>
      <c r="AG632" s="1367"/>
      <c r="AH632" s="1367"/>
      <c r="AI632" s="1367"/>
      <c r="AJ632" s="1368"/>
      <c r="AK632" s="1578" t="s">
        <v>1458</v>
      </c>
      <c r="AL632" s="1579"/>
      <c r="AM632" s="1579"/>
      <c r="AN632" s="1580"/>
      <c r="AO632" s="1344" t="s">
        <v>1418</v>
      </c>
      <c r="AP632" s="1344"/>
      <c r="AQ632" s="1344"/>
      <c r="AR632" s="1344"/>
      <c r="AS632" s="1344"/>
      <c r="AU632" s="3"/>
      <c r="AZ632" s="3"/>
      <c r="BA632" s="3"/>
      <c r="BB632" s="3"/>
      <c r="BC632" s="3"/>
    </row>
    <row r="633" spans="1:56" ht="12.95" customHeight="1">
      <c r="B633" s="1385"/>
      <c r="C633" s="1385"/>
      <c r="D633" s="1385"/>
      <c r="E633" s="1385"/>
      <c r="F633" s="1385"/>
      <c r="G633" s="1385"/>
      <c r="H633" s="1385"/>
      <c r="I633" s="1385"/>
      <c r="J633" s="1385"/>
      <c r="K633" s="1385"/>
      <c r="L633" s="1385"/>
      <c r="M633" s="1344"/>
      <c r="N633" s="1344"/>
      <c r="O633" s="1344"/>
      <c r="P633" s="1344"/>
      <c r="Q633" s="1344"/>
      <c r="R633" s="1344"/>
      <c r="S633" s="1344"/>
      <c r="T633" s="1344"/>
      <c r="U633" s="1344"/>
      <c r="V633" s="1344"/>
      <c r="W633" s="1577"/>
      <c r="X633" s="1577"/>
      <c r="Y633" s="1577"/>
      <c r="Z633" s="1370"/>
      <c r="AA633" s="1370"/>
      <c r="AB633" s="1371"/>
      <c r="AC633" s="1357"/>
      <c r="AD633" s="1358"/>
      <c r="AE633" s="1359"/>
      <c r="AF633" s="1369"/>
      <c r="AG633" s="1370"/>
      <c r="AH633" s="1370"/>
      <c r="AI633" s="1370"/>
      <c r="AJ633" s="1371"/>
      <c r="AK633" s="1581"/>
      <c r="AL633" s="1582"/>
      <c r="AM633" s="1582"/>
      <c r="AN633" s="1583"/>
      <c r="AO633" s="1344"/>
      <c r="AP633" s="1344"/>
      <c r="AQ633" s="1344"/>
      <c r="AR633" s="1344"/>
      <c r="AS633" s="1344"/>
      <c r="AU633" s="3"/>
      <c r="AZ633" s="3"/>
      <c r="BA633" s="3"/>
      <c r="BB633" s="3"/>
      <c r="BC633" s="3"/>
      <c r="BD633" s="3"/>
    </row>
    <row r="634" spans="1:56" ht="12.95" customHeight="1">
      <c r="B634" s="1385"/>
      <c r="C634" s="1385"/>
      <c r="D634" s="1385"/>
      <c r="E634" s="1385"/>
      <c r="F634" s="1385"/>
      <c r="G634" s="1385"/>
      <c r="H634" s="1385"/>
      <c r="I634" s="1385"/>
      <c r="J634" s="1385"/>
      <c r="K634" s="1385"/>
      <c r="L634" s="1385"/>
      <c r="M634" s="1344"/>
      <c r="N634" s="1344"/>
      <c r="O634" s="1344"/>
      <c r="P634" s="1344"/>
      <c r="Q634" s="1344"/>
      <c r="R634" s="1344"/>
      <c r="S634" s="1344"/>
      <c r="T634" s="1344"/>
      <c r="U634" s="1344"/>
      <c r="V634" s="1344"/>
      <c r="W634" s="1577"/>
      <c r="X634" s="1577"/>
      <c r="Y634" s="1577"/>
      <c r="Z634" s="1373"/>
      <c r="AA634" s="1373"/>
      <c r="AB634" s="1374"/>
      <c r="AC634" s="1360"/>
      <c r="AD634" s="1361"/>
      <c r="AE634" s="1362"/>
      <c r="AF634" s="1372"/>
      <c r="AG634" s="1373"/>
      <c r="AH634" s="1373"/>
      <c r="AI634" s="1373"/>
      <c r="AJ634" s="1374"/>
      <c r="AK634" s="1584"/>
      <c r="AL634" s="1585"/>
      <c r="AM634" s="1585"/>
      <c r="AN634" s="1586"/>
      <c r="AO634" s="1344"/>
      <c r="AP634" s="1344"/>
      <c r="AQ634" s="1344"/>
      <c r="AR634" s="1344"/>
      <c r="AS634" s="1344"/>
      <c r="AT634" s="3"/>
      <c r="AU634" s="3"/>
      <c r="AZ634" s="3"/>
      <c r="BA634" s="3"/>
      <c r="BB634" s="3"/>
      <c r="BC634" s="3"/>
      <c r="BD634" s="3"/>
    </row>
    <row r="635" spans="1:56" ht="12.95" customHeight="1">
      <c r="B635" s="43" t="s">
        <v>18</v>
      </c>
      <c r="C635" s="1338" t="s">
        <v>1459</v>
      </c>
      <c r="D635" s="1338"/>
      <c r="E635" s="1338"/>
      <c r="F635" s="1338"/>
      <c r="G635" s="1338"/>
      <c r="H635" s="1338"/>
      <c r="I635" s="1338"/>
      <c r="J635" s="1338"/>
      <c r="K635" s="1338"/>
      <c r="L635" s="1338"/>
      <c r="M635" s="1573" t="s">
        <v>1393</v>
      </c>
      <c r="N635" s="1573"/>
      <c r="O635" s="1573"/>
      <c r="P635" s="1573"/>
      <c r="Q635" s="1342">
        <f>17*12</f>
        <v>204</v>
      </c>
      <c r="R635" s="1342"/>
      <c r="S635" s="1343"/>
      <c r="T635" s="1341">
        <f>40*12</f>
        <v>480</v>
      </c>
      <c r="U635" s="1342"/>
      <c r="V635" s="1343"/>
      <c r="W635" s="1389">
        <f>'[2]4%main spreadsheet'!$CB$4</f>
        <v>6.1200000000000004E-2</v>
      </c>
      <c r="X635" s="1390"/>
      <c r="Y635" s="1391"/>
      <c r="Z635" s="1363" t="s">
        <v>1460</v>
      </c>
      <c r="AA635" s="1364"/>
      <c r="AB635" s="1365"/>
      <c r="AC635" s="1386">
        <v>1</v>
      </c>
      <c r="AD635" s="1387"/>
      <c r="AE635" s="1388"/>
      <c r="AF635" s="1435">
        <f>'[2]4%main spreadsheet'!$O$45</f>
        <v>832539.92955194192</v>
      </c>
      <c r="AG635" s="1436"/>
      <c r="AH635" s="1436"/>
      <c r="AI635" s="1436"/>
      <c r="AJ635" s="1437"/>
      <c r="AK635" s="1331"/>
      <c r="AL635" s="1332"/>
      <c r="AM635" s="1332"/>
      <c r="AN635" s="1333"/>
      <c r="AO635" s="1392">
        <f>'[2]4%main spreadsheet'!$BW$4</f>
        <v>12420000</v>
      </c>
      <c r="AP635" s="1392"/>
      <c r="AQ635" s="1392"/>
      <c r="AR635" s="1392"/>
      <c r="AS635" s="1392"/>
      <c r="AT635" s="3"/>
      <c r="AU635" s="3"/>
      <c r="AZ635" s="3"/>
      <c r="BA635" s="3"/>
      <c r="BB635" s="3"/>
      <c r="BC635" s="3"/>
      <c r="BD635" s="3"/>
    </row>
    <row r="636" spans="1:56" ht="12.95" customHeight="1">
      <c r="B636" s="44" t="s">
        <v>31</v>
      </c>
      <c r="C636" s="1338" t="str">
        <f>C564</f>
        <v>HCD Joe Serna, Jr. FWHG</v>
      </c>
      <c r="D636" s="1338"/>
      <c r="E636" s="1338"/>
      <c r="F636" s="1338"/>
      <c r="G636" s="1338"/>
      <c r="H636" s="1338"/>
      <c r="I636" s="1338"/>
      <c r="J636" s="1338"/>
      <c r="K636" s="1338"/>
      <c r="L636" s="1338"/>
      <c r="M636" s="1573" t="s">
        <v>1389</v>
      </c>
      <c r="N636" s="1573"/>
      <c r="O636" s="1573"/>
      <c r="P636" s="1573"/>
      <c r="Q636" s="1341">
        <f>55*12</f>
        <v>660</v>
      </c>
      <c r="R636" s="1342"/>
      <c r="S636" s="1343"/>
      <c r="T636" s="1341"/>
      <c r="U636" s="1342"/>
      <c r="V636" s="1343"/>
      <c r="W636" s="1389">
        <v>0.03</v>
      </c>
      <c r="X636" s="1390"/>
      <c r="Y636" s="1391"/>
      <c r="Z636" s="1363" t="s">
        <v>1461</v>
      </c>
      <c r="AA636" s="1364"/>
      <c r="AB636" s="1365"/>
      <c r="AC636" s="1386">
        <v>2</v>
      </c>
      <c r="AD636" s="1387"/>
      <c r="AE636" s="1388"/>
      <c r="AF636" s="1435">
        <f>'[2]4%main spreadsheet'!$O$47</f>
        <v>41296.562999999995</v>
      </c>
      <c r="AG636" s="1436"/>
      <c r="AH636" s="1436"/>
      <c r="AI636" s="1436"/>
      <c r="AJ636" s="1437"/>
      <c r="AK636" s="1331"/>
      <c r="AL636" s="1332"/>
      <c r="AM636" s="1332"/>
      <c r="AN636" s="1333"/>
      <c r="AO636" s="1346">
        <f>'[2]4%main spreadsheet'!$BW$6</f>
        <v>9832515</v>
      </c>
      <c r="AP636" s="1347"/>
      <c r="AQ636" s="1347"/>
      <c r="AR636" s="1347"/>
      <c r="AS636" s="1348"/>
      <c r="AT636" s="1031" t="str">
        <f>IF(AND(NOT(C635=""),C636="",NOT(C637="")),"!","")</f>
        <v/>
      </c>
      <c r="AU636" s="3"/>
      <c r="AZ636" s="3"/>
      <c r="BA636" s="3"/>
      <c r="BB636" s="3"/>
      <c r="BC636" s="3"/>
      <c r="BD636" s="3"/>
    </row>
    <row r="637" spans="1:56" ht="12.95" customHeight="1">
      <c r="B637" s="44" t="s">
        <v>39</v>
      </c>
      <c r="C637" s="1338" t="s">
        <v>1462</v>
      </c>
      <c r="D637" s="1338"/>
      <c r="E637" s="1338"/>
      <c r="F637" s="1338"/>
      <c r="G637" s="1338"/>
      <c r="H637" s="1338"/>
      <c r="I637" s="1338"/>
      <c r="J637" s="1338"/>
      <c r="K637" s="1338"/>
      <c r="L637" s="1338"/>
      <c r="M637" s="1573" t="s">
        <v>1389</v>
      </c>
      <c r="N637" s="1573"/>
      <c r="O637" s="1573"/>
      <c r="P637" s="1573"/>
      <c r="Q637" s="1341">
        <v>660</v>
      </c>
      <c r="R637" s="1342"/>
      <c r="S637" s="1343"/>
      <c r="T637" s="1341"/>
      <c r="U637" s="1342"/>
      <c r="V637" s="1343"/>
      <c r="W637" s="1389">
        <v>0.03</v>
      </c>
      <c r="X637" s="1390"/>
      <c r="Y637" s="1391"/>
      <c r="Z637" s="1363" t="s">
        <v>1461</v>
      </c>
      <c r="AA637" s="1364"/>
      <c r="AB637" s="1365"/>
      <c r="AC637" s="1386">
        <v>3</v>
      </c>
      <c r="AD637" s="1387"/>
      <c r="AE637" s="1388"/>
      <c r="AF637" s="1435">
        <f>'[2]4%main spreadsheet'!$O$48</f>
        <v>38560.284</v>
      </c>
      <c r="AG637" s="1436"/>
      <c r="AH637" s="1436"/>
      <c r="AI637" s="1436"/>
      <c r="AJ637" s="1437"/>
      <c r="AK637" s="1331"/>
      <c r="AL637" s="1332"/>
      <c r="AM637" s="1332"/>
      <c r="AN637" s="1333"/>
      <c r="AO637" s="1346">
        <f>'[2]4%main spreadsheet'!$BW$10</f>
        <v>9181020</v>
      </c>
      <c r="AP637" s="1347"/>
      <c r="AQ637" s="1347"/>
      <c r="AR637" s="1347"/>
      <c r="AS637" s="1348"/>
      <c r="AT637" s="1031" t="str">
        <f t="shared" ref="AT637:AT646" si="3">IF(AND(NOT(C636=""),C637="",NOT(C638="")),"!","")</f>
        <v/>
      </c>
      <c r="AU637" s="3"/>
      <c r="AZ637" s="3"/>
      <c r="BA637" s="3"/>
      <c r="BB637" s="3"/>
      <c r="BC637" s="3"/>
      <c r="BD637" s="3"/>
    </row>
    <row r="638" spans="1:56" ht="12.95" customHeight="1">
      <c r="B638" s="44" t="s">
        <v>82</v>
      </c>
      <c r="C638" s="1338" t="s">
        <v>1429</v>
      </c>
      <c r="D638" s="1338"/>
      <c r="E638" s="1338"/>
      <c r="F638" s="1338"/>
      <c r="G638" s="1338"/>
      <c r="H638" s="1338"/>
      <c r="I638" s="1338"/>
      <c r="J638" s="1338"/>
      <c r="K638" s="1338"/>
      <c r="L638" s="1338"/>
      <c r="M638" s="1573" t="s">
        <v>1372</v>
      </c>
      <c r="N638" s="1573"/>
      <c r="O638" s="1573"/>
      <c r="P638" s="1573"/>
      <c r="Q638" s="1341"/>
      <c r="R638" s="1342"/>
      <c r="S638" s="1343"/>
      <c r="T638" s="1341"/>
      <c r="U638" s="1342"/>
      <c r="V638" s="1343"/>
      <c r="W638" s="1389"/>
      <c r="X638" s="1390"/>
      <c r="Y638" s="1391"/>
      <c r="Z638" s="1363" t="s">
        <v>1045</v>
      </c>
      <c r="AA638" s="1364"/>
      <c r="AB638" s="1365"/>
      <c r="AC638" s="1386"/>
      <c r="AD638" s="1387"/>
      <c r="AE638" s="1388"/>
      <c r="AF638" s="1435"/>
      <c r="AG638" s="1436"/>
      <c r="AH638" s="1436"/>
      <c r="AI638" s="1436"/>
      <c r="AJ638" s="1437"/>
      <c r="AK638" s="1331"/>
      <c r="AL638" s="1332"/>
      <c r="AM638" s="1332"/>
      <c r="AN638" s="1333"/>
      <c r="AO638" s="1346">
        <f>'[2]4%main spreadsheet'!$BW$20</f>
        <v>2799900</v>
      </c>
      <c r="AP638" s="1347"/>
      <c r="AQ638" s="1347"/>
      <c r="AR638" s="1347"/>
      <c r="AS638" s="1348"/>
      <c r="AT638" s="1031" t="str">
        <f t="shared" si="3"/>
        <v/>
      </c>
      <c r="AU638" s="3"/>
      <c r="AZ638" s="3"/>
      <c r="BA638" s="3"/>
      <c r="BB638" s="3"/>
      <c r="BC638" s="3"/>
      <c r="BD638" s="3"/>
    </row>
    <row r="639" spans="1:56" ht="12.95" customHeight="1">
      <c r="B639" s="44" t="s">
        <v>86</v>
      </c>
      <c r="C639" s="1338" t="s">
        <v>1424</v>
      </c>
      <c r="D639" s="1338"/>
      <c r="E639" s="1338"/>
      <c r="F639" s="1338"/>
      <c r="G639" s="1338"/>
      <c r="H639" s="1338"/>
      <c r="I639" s="1338"/>
      <c r="J639" s="1338"/>
      <c r="K639" s="1338"/>
      <c r="L639" s="1338"/>
      <c r="M639" s="1573" t="s">
        <v>1367</v>
      </c>
      <c r="N639" s="1573"/>
      <c r="O639" s="1573"/>
      <c r="P639" s="1573"/>
      <c r="Q639" s="1341"/>
      <c r="R639" s="1342"/>
      <c r="S639" s="1343"/>
      <c r="T639" s="1341"/>
      <c r="U639" s="1342"/>
      <c r="V639" s="1343"/>
      <c r="W639" s="1389"/>
      <c r="X639" s="1390"/>
      <c r="Y639" s="1391"/>
      <c r="Z639" s="1363" t="s">
        <v>1045</v>
      </c>
      <c r="AA639" s="1364"/>
      <c r="AB639" s="1365"/>
      <c r="AC639" s="1386"/>
      <c r="AD639" s="1387"/>
      <c r="AE639" s="1388"/>
      <c r="AF639" s="1435"/>
      <c r="AG639" s="1436"/>
      <c r="AH639" s="1436"/>
      <c r="AI639" s="1436"/>
      <c r="AJ639" s="1437"/>
      <c r="AK639" s="1331"/>
      <c r="AL639" s="1332"/>
      <c r="AM639" s="1332"/>
      <c r="AN639" s="1333"/>
      <c r="AO639" s="1346">
        <f>ROUND('[2]4%main spreadsheet'!$BW$7,0)</f>
        <v>467044</v>
      </c>
      <c r="AP639" s="1347"/>
      <c r="AQ639" s="1347"/>
      <c r="AR639" s="1347"/>
      <c r="AS639" s="1348"/>
      <c r="AT639" s="1031" t="str">
        <f t="shared" si="3"/>
        <v/>
      </c>
      <c r="AU639" s="3"/>
      <c r="AZ639" s="3"/>
      <c r="BA639" s="3"/>
      <c r="BB639" s="3"/>
      <c r="BC639" s="3"/>
      <c r="BD639" s="3"/>
    </row>
    <row r="640" spans="1:56" ht="12.95" customHeight="1">
      <c r="B640" s="44" t="s">
        <v>1426</v>
      </c>
      <c r="C640" s="1338" t="s">
        <v>1425</v>
      </c>
      <c r="D640" s="1338"/>
      <c r="E640" s="1338"/>
      <c r="F640" s="1338"/>
      <c r="G640" s="1338"/>
      <c r="H640" s="1338"/>
      <c r="I640" s="1338"/>
      <c r="J640" s="1338"/>
      <c r="K640" s="1338"/>
      <c r="L640" s="1338"/>
      <c r="M640" s="1573" t="s">
        <v>1377</v>
      </c>
      <c r="N640" s="1573"/>
      <c r="O640" s="1573"/>
      <c r="P640" s="1573"/>
      <c r="Q640" s="1341"/>
      <c r="R640" s="1342"/>
      <c r="S640" s="1343"/>
      <c r="T640" s="1341"/>
      <c r="U640" s="1342"/>
      <c r="V640" s="1343"/>
      <c r="W640" s="1389"/>
      <c r="X640" s="1390"/>
      <c r="Y640" s="1391"/>
      <c r="Z640" s="1363" t="s">
        <v>1045</v>
      </c>
      <c r="AA640" s="1364"/>
      <c r="AB640" s="1365"/>
      <c r="AC640" s="1386"/>
      <c r="AD640" s="1387"/>
      <c r="AE640" s="1388"/>
      <c r="AF640" s="1435"/>
      <c r="AG640" s="1436"/>
      <c r="AH640" s="1436"/>
      <c r="AI640" s="1436"/>
      <c r="AJ640" s="1437"/>
      <c r="AK640" s="1331"/>
      <c r="AL640" s="1332"/>
      <c r="AM640" s="1332"/>
      <c r="AN640" s="1333"/>
      <c r="AO640" s="1346">
        <f>'[2]4%main spreadsheet'!$BW$21</f>
        <v>100</v>
      </c>
      <c r="AP640" s="1347"/>
      <c r="AQ640" s="1347"/>
      <c r="AR640" s="1347"/>
      <c r="AS640" s="1348"/>
      <c r="AT640" s="1031" t="str">
        <f t="shared" si="3"/>
        <v/>
      </c>
      <c r="AU640" s="3"/>
      <c r="AZ640" s="3"/>
      <c r="BA640" s="3"/>
      <c r="BB640" s="3"/>
      <c r="BC640" s="3"/>
      <c r="BD640" s="3"/>
    </row>
    <row r="641" spans="1:157" ht="12.95" customHeight="1">
      <c r="B641" s="44" t="s">
        <v>1428</v>
      </c>
      <c r="C641" s="1338"/>
      <c r="D641" s="1338"/>
      <c r="E641" s="1338"/>
      <c r="F641" s="1338"/>
      <c r="G641" s="1338"/>
      <c r="H641" s="1338"/>
      <c r="I641" s="1338"/>
      <c r="J641" s="1338"/>
      <c r="K641" s="1338"/>
      <c r="L641" s="1338"/>
      <c r="M641" s="1573"/>
      <c r="N641" s="1573"/>
      <c r="O641" s="1573"/>
      <c r="P641" s="1573"/>
      <c r="Q641" s="1341"/>
      <c r="R641" s="1342"/>
      <c r="S641" s="1343"/>
      <c r="T641" s="1341"/>
      <c r="U641" s="1342"/>
      <c r="V641" s="1343"/>
      <c r="W641" s="1389"/>
      <c r="X641" s="1390"/>
      <c r="Y641" s="1391"/>
      <c r="Z641" s="1363" t="s">
        <v>1045</v>
      </c>
      <c r="AA641" s="1364"/>
      <c r="AB641" s="1365"/>
      <c r="AC641" s="1386"/>
      <c r="AD641" s="1387"/>
      <c r="AE641" s="1388"/>
      <c r="AF641" s="1435"/>
      <c r="AG641" s="1436"/>
      <c r="AH641" s="1436"/>
      <c r="AI641" s="1436"/>
      <c r="AJ641" s="1437"/>
      <c r="AK641" s="1331"/>
      <c r="AL641" s="1332"/>
      <c r="AM641" s="1332"/>
      <c r="AN641" s="1333"/>
      <c r="AO641" s="1346"/>
      <c r="AP641" s="1347"/>
      <c r="AQ641" s="1347"/>
      <c r="AR641" s="1347"/>
      <c r="AS641" s="1348"/>
      <c r="AT641" s="1031" t="str">
        <f t="shared" si="3"/>
        <v/>
      </c>
      <c r="AU641" s="3"/>
      <c r="AV641" s="3"/>
      <c r="AW641" s="3"/>
      <c r="AX641" s="3"/>
      <c r="AY641" s="3"/>
      <c r="AZ641" s="3"/>
      <c r="BA641" s="3"/>
      <c r="BB641" s="3"/>
      <c r="BC641" s="3"/>
      <c r="BD641" s="3"/>
    </row>
    <row r="642" spans="1:157" ht="12.95" customHeight="1">
      <c r="B642" s="44" t="s">
        <v>1430</v>
      </c>
      <c r="C642" s="1338"/>
      <c r="D642" s="1338"/>
      <c r="E642" s="1338"/>
      <c r="F642" s="1338"/>
      <c r="G642" s="1338"/>
      <c r="H642" s="1338"/>
      <c r="I642" s="1338"/>
      <c r="J642" s="1338"/>
      <c r="K642" s="1338"/>
      <c r="L642" s="1338"/>
      <c r="M642" s="1573" t="s">
        <v>1045</v>
      </c>
      <c r="N642" s="1573"/>
      <c r="O642" s="1573"/>
      <c r="P642" s="1573"/>
      <c r="Q642" s="1341"/>
      <c r="R642" s="1342"/>
      <c r="S642" s="1343"/>
      <c r="T642" s="1341"/>
      <c r="U642" s="1342"/>
      <c r="V642" s="1343"/>
      <c r="W642" s="1389"/>
      <c r="X642" s="1390"/>
      <c r="Y642" s="1391"/>
      <c r="Z642" s="1363" t="s">
        <v>1045</v>
      </c>
      <c r="AA642" s="1364"/>
      <c r="AB642" s="1365"/>
      <c r="AC642" s="1386"/>
      <c r="AD642" s="1387"/>
      <c r="AE642" s="1388"/>
      <c r="AF642" s="1435"/>
      <c r="AG642" s="1436"/>
      <c r="AH642" s="1436"/>
      <c r="AI642" s="1436"/>
      <c r="AJ642" s="1437"/>
      <c r="AK642" s="1331"/>
      <c r="AL642" s="1332"/>
      <c r="AM642" s="1332"/>
      <c r="AN642" s="1333"/>
      <c r="AO642" s="1346"/>
      <c r="AP642" s="1347"/>
      <c r="AQ642" s="1347"/>
      <c r="AR642" s="1347"/>
      <c r="AS642" s="1348"/>
      <c r="AT642" s="1031" t="str">
        <f t="shared" si="3"/>
        <v/>
      </c>
      <c r="AU642" s="3"/>
      <c r="AV642" s="3"/>
      <c r="AW642" s="3"/>
      <c r="AX642" s="3"/>
      <c r="AY642" s="3"/>
      <c r="AZ642" s="3"/>
      <c r="BA642" s="3" t="s">
        <v>1045</v>
      </c>
      <c r="BB642" s="3"/>
      <c r="BC642" s="3"/>
      <c r="BD642" s="3"/>
    </row>
    <row r="643" spans="1:157" ht="12.95" customHeight="1">
      <c r="B643" s="44" t="s">
        <v>1432</v>
      </c>
      <c r="C643" s="1338"/>
      <c r="D643" s="1338"/>
      <c r="E643" s="1338"/>
      <c r="F643" s="1338"/>
      <c r="G643" s="1338"/>
      <c r="H643" s="1338"/>
      <c r="I643" s="1338"/>
      <c r="J643" s="1338"/>
      <c r="K643" s="1338"/>
      <c r="L643" s="1338"/>
      <c r="M643" s="1573" t="s">
        <v>1045</v>
      </c>
      <c r="N643" s="1573"/>
      <c r="O643" s="1573"/>
      <c r="P643" s="1573"/>
      <c r="Q643" s="1341"/>
      <c r="R643" s="1342"/>
      <c r="S643" s="1343"/>
      <c r="T643" s="1341"/>
      <c r="U643" s="1342"/>
      <c r="V643" s="1343"/>
      <c r="W643" s="1389"/>
      <c r="X643" s="1390"/>
      <c r="Y643" s="1391"/>
      <c r="Z643" s="1363" t="s">
        <v>1045</v>
      </c>
      <c r="AA643" s="1364"/>
      <c r="AB643" s="1365"/>
      <c r="AC643" s="1386"/>
      <c r="AD643" s="1387"/>
      <c r="AE643" s="1388"/>
      <c r="AF643" s="1435"/>
      <c r="AG643" s="1436"/>
      <c r="AH643" s="1436"/>
      <c r="AI643" s="1436"/>
      <c r="AJ643" s="1437"/>
      <c r="AK643" s="1331"/>
      <c r="AL643" s="1332"/>
      <c r="AM643" s="1332"/>
      <c r="AN643" s="1333"/>
      <c r="AO643" s="1346"/>
      <c r="AP643" s="1347"/>
      <c r="AQ643" s="1347"/>
      <c r="AR643" s="1347"/>
      <c r="AS643" s="1348"/>
      <c r="AT643" s="1031" t="str">
        <f t="shared" si="3"/>
        <v/>
      </c>
      <c r="AU643" s="3"/>
      <c r="AV643" s="3"/>
      <c r="AW643" s="3"/>
      <c r="AX643" s="3"/>
      <c r="AY643" s="3"/>
      <c r="AZ643" s="3"/>
      <c r="BA643" s="3" t="s">
        <v>1463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2" t="e">
        <f t="shared" ref="DX643:DX677" si="4">EZ726*(CP726/$CP$761)</f>
        <v>#VALUE!</v>
      </c>
      <c r="DY643" s="1422"/>
      <c r="DZ643" s="1422"/>
      <c r="EA643" s="1422"/>
      <c r="EB643" s="1422"/>
      <c r="EC643" s="1422">
        <f t="shared" ref="EC643:EC677" si="5">FE726*(CU726/$CU$761)</f>
        <v>340.71428571428572</v>
      </c>
      <c r="ED643" s="1422"/>
      <c r="EE643" s="1422"/>
      <c r="EF643" s="1422"/>
      <c r="EG643" s="1422"/>
      <c r="EH643" s="1422" t="e">
        <f t="shared" ref="EH643:EH677" si="6">FJ726*(CZ726/$CZ$761)</f>
        <v>#VALUE!</v>
      </c>
      <c r="EI643" s="1422"/>
      <c r="EJ643" s="1422"/>
      <c r="EK643" s="1422"/>
      <c r="EL643" s="1422"/>
      <c r="EM643" s="1422" t="e">
        <f t="shared" ref="EM643:EM677" si="7">FO726*(DE726/$DE$761)</f>
        <v>#VALUE!</v>
      </c>
      <c r="EN643" s="1422"/>
      <c r="EO643" s="1422"/>
      <c r="EP643" s="1422"/>
      <c r="EQ643" s="1422"/>
      <c r="ER643" s="1422" t="e">
        <f t="shared" ref="ER643:ER677" si="8">FT726*(DJ726/$DJ$761)</f>
        <v>#VALUE!</v>
      </c>
      <c r="ES643" s="1422"/>
      <c r="ET643" s="1422"/>
      <c r="EU643" s="1422"/>
      <c r="EV643" s="1422"/>
      <c r="EW643" s="1422" t="e">
        <f t="shared" ref="EW643:EW677" si="9">FY726*(DO726/$DO$761)</f>
        <v>#VALUE!</v>
      </c>
      <c r="EX643" s="1422"/>
      <c r="EY643" s="1422"/>
      <c r="EZ643" s="1422"/>
      <c r="FA643" s="1422"/>
    </row>
    <row r="644" spans="1:157" ht="12.95" customHeight="1">
      <c r="B644" s="44" t="s">
        <v>1433</v>
      </c>
      <c r="C644" s="1338"/>
      <c r="D644" s="1338"/>
      <c r="E644" s="1338"/>
      <c r="F644" s="1338"/>
      <c r="G644" s="1338"/>
      <c r="H644" s="1338"/>
      <c r="I644" s="1338"/>
      <c r="J644" s="1338"/>
      <c r="K644" s="1338"/>
      <c r="L644" s="1338"/>
      <c r="M644" s="1573" t="s">
        <v>1045</v>
      </c>
      <c r="N644" s="1573"/>
      <c r="O644" s="1573"/>
      <c r="P644" s="1573"/>
      <c r="Q644" s="1341"/>
      <c r="R644" s="1342"/>
      <c r="S644" s="1343"/>
      <c r="T644" s="1341"/>
      <c r="U644" s="1342"/>
      <c r="V644" s="1343"/>
      <c r="W644" s="1389"/>
      <c r="X644" s="1390"/>
      <c r="Y644" s="1391"/>
      <c r="Z644" s="1363" t="s">
        <v>1045</v>
      </c>
      <c r="AA644" s="1364"/>
      <c r="AB644" s="1365"/>
      <c r="AC644" s="1386"/>
      <c r="AD644" s="1387"/>
      <c r="AE644" s="1388"/>
      <c r="AF644" s="1435"/>
      <c r="AG644" s="1436"/>
      <c r="AH644" s="1436"/>
      <c r="AI644" s="1436"/>
      <c r="AJ644" s="1437"/>
      <c r="AK644" s="1331"/>
      <c r="AL644" s="1332"/>
      <c r="AM644" s="1332"/>
      <c r="AN644" s="1333"/>
      <c r="AO644" s="1346"/>
      <c r="AP644" s="1347"/>
      <c r="AQ644" s="1347"/>
      <c r="AR644" s="1347"/>
      <c r="AS644" s="1348"/>
      <c r="AT644" s="1031" t="str">
        <f t="shared" si="3"/>
        <v/>
      </c>
      <c r="AV644" s="3"/>
      <c r="AW644" s="3"/>
      <c r="AX644" s="3"/>
      <c r="AY644" s="3"/>
      <c r="AZ644" s="3"/>
      <c r="BA644" s="3" t="s">
        <v>1461</v>
      </c>
      <c r="BB644" s="3"/>
      <c r="BC644" s="3"/>
      <c r="BD644" s="3"/>
      <c r="BE644" s="3"/>
      <c r="BF644" s="3"/>
      <c r="BG644" s="3"/>
      <c r="BH644" s="3"/>
      <c r="BI644" s="3"/>
      <c r="BJ644" s="3"/>
      <c r="BK644" s="3"/>
      <c r="BL644" s="3"/>
      <c r="BM644" s="3"/>
      <c r="DA644" s="3"/>
      <c r="DB644" s="3"/>
      <c r="DC644" s="3"/>
      <c r="DD644" s="3"/>
      <c r="DE644" s="3"/>
      <c r="DF644" s="3"/>
      <c r="DX644" s="1422" t="e">
        <f t="shared" si="4"/>
        <v>#VALUE!</v>
      </c>
      <c r="DY644" s="1422"/>
      <c r="DZ644" s="1422"/>
      <c r="EA644" s="1422"/>
      <c r="EB644" s="1422"/>
      <c r="EC644" s="1422">
        <f t="shared" si="5"/>
        <v>132.5</v>
      </c>
      <c r="ED644" s="1422"/>
      <c r="EE644" s="1422"/>
      <c r="EF644" s="1422"/>
      <c r="EG644" s="1422"/>
      <c r="EH644" s="1422" t="e">
        <f t="shared" si="6"/>
        <v>#VALUE!</v>
      </c>
      <c r="EI644" s="1422"/>
      <c r="EJ644" s="1422"/>
      <c r="EK644" s="1422"/>
      <c r="EL644" s="1422"/>
      <c r="EM644" s="1422" t="e">
        <f t="shared" si="7"/>
        <v>#VALUE!</v>
      </c>
      <c r="EN644" s="1422"/>
      <c r="EO644" s="1422"/>
      <c r="EP644" s="1422"/>
      <c r="EQ644" s="1422"/>
      <c r="ER644" s="1422" t="e">
        <f t="shared" si="8"/>
        <v>#VALUE!</v>
      </c>
      <c r="ES644" s="1422"/>
      <c r="ET644" s="1422"/>
      <c r="EU644" s="1422"/>
      <c r="EV644" s="1422"/>
      <c r="EW644" s="1422" t="e">
        <f t="shared" si="9"/>
        <v>#VALUE!</v>
      </c>
      <c r="EX644" s="1422"/>
      <c r="EY644" s="1422"/>
      <c r="EZ644" s="1422"/>
      <c r="FA644" s="1422"/>
    </row>
    <row r="645" spans="1:157" ht="12.95" customHeight="1">
      <c r="B645" s="44" t="s">
        <v>1434</v>
      </c>
      <c r="C645" s="1338"/>
      <c r="D645" s="1338"/>
      <c r="E645" s="1338"/>
      <c r="F645" s="1338"/>
      <c r="G645" s="1338"/>
      <c r="H645" s="1338"/>
      <c r="I645" s="1338"/>
      <c r="J645" s="1338"/>
      <c r="K645" s="1338"/>
      <c r="L645" s="1338"/>
      <c r="M645" s="1573" t="s">
        <v>1045</v>
      </c>
      <c r="N645" s="1573"/>
      <c r="O645" s="1573"/>
      <c r="P645" s="1573"/>
      <c r="Q645" s="1341"/>
      <c r="R645" s="1342"/>
      <c r="S645" s="1343"/>
      <c r="T645" s="1341"/>
      <c r="U645" s="1342"/>
      <c r="V645" s="1343"/>
      <c r="W645" s="1389"/>
      <c r="X645" s="1390"/>
      <c r="Y645" s="1391"/>
      <c r="Z645" s="1363" t="s">
        <v>1045</v>
      </c>
      <c r="AA645" s="1364"/>
      <c r="AB645" s="1365"/>
      <c r="AC645" s="1386"/>
      <c r="AD645" s="1387"/>
      <c r="AE645" s="1388"/>
      <c r="AF645" s="1435"/>
      <c r="AG645" s="1436"/>
      <c r="AH645" s="1436"/>
      <c r="AI645" s="1436"/>
      <c r="AJ645" s="1437"/>
      <c r="AK645" s="1331"/>
      <c r="AL645" s="1332"/>
      <c r="AM645" s="1332"/>
      <c r="AN645" s="1333"/>
      <c r="AO645" s="1346"/>
      <c r="AP645" s="1347"/>
      <c r="AQ645" s="1347"/>
      <c r="AR645" s="1347"/>
      <c r="AS645" s="1348"/>
      <c r="AT645" s="1031" t="str">
        <f t="shared" si="3"/>
        <v/>
      </c>
      <c r="AV645" s="3"/>
      <c r="AW645" s="3"/>
      <c r="AX645" s="3"/>
      <c r="AY645" s="3"/>
      <c r="AZ645" s="3"/>
      <c r="BA645" s="3" t="s">
        <v>1460</v>
      </c>
      <c r="BB645" s="3"/>
      <c r="BC645" s="3"/>
      <c r="BD645" s="3"/>
      <c r="BE645" s="3"/>
      <c r="BF645" s="3"/>
      <c r="BG645" s="3"/>
      <c r="BH645" s="3"/>
      <c r="BI645" s="3"/>
      <c r="BJ645" s="3"/>
      <c r="BK645" s="3"/>
      <c r="BL645" s="3"/>
      <c r="BM645" s="3"/>
      <c r="DA645" s="3"/>
      <c r="DB645" s="3"/>
      <c r="DC645" s="3"/>
      <c r="DD645" s="3"/>
      <c r="DE645" s="3"/>
      <c r="DF645" s="3"/>
      <c r="DX645" s="1422" t="e">
        <f t="shared" si="4"/>
        <v>#VALUE!</v>
      </c>
      <c r="DY645" s="1422"/>
      <c r="DZ645" s="1422"/>
      <c r="EA645" s="1422"/>
      <c r="EB645" s="1422"/>
      <c r="EC645" s="1422">
        <f t="shared" si="5"/>
        <v>541.16666666666663</v>
      </c>
      <c r="ED645" s="1422"/>
      <c r="EE645" s="1422"/>
      <c r="EF645" s="1422"/>
      <c r="EG645" s="1422"/>
      <c r="EH645" s="1422" t="e">
        <f t="shared" si="6"/>
        <v>#VALUE!</v>
      </c>
      <c r="EI645" s="1422"/>
      <c r="EJ645" s="1422"/>
      <c r="EK645" s="1422"/>
      <c r="EL645" s="1422"/>
      <c r="EM645" s="1422" t="e">
        <f t="shared" si="7"/>
        <v>#VALUE!</v>
      </c>
      <c r="EN645" s="1422"/>
      <c r="EO645" s="1422"/>
      <c r="EP645" s="1422"/>
      <c r="EQ645" s="1422"/>
      <c r="ER645" s="1422" t="e">
        <f t="shared" si="8"/>
        <v>#VALUE!</v>
      </c>
      <c r="ES645" s="1422"/>
      <c r="ET645" s="1422"/>
      <c r="EU645" s="1422"/>
      <c r="EV645" s="1422"/>
      <c r="EW645" s="1422" t="e">
        <f t="shared" si="9"/>
        <v>#VALUE!</v>
      </c>
      <c r="EX645" s="1422"/>
      <c r="EY645" s="1422"/>
      <c r="EZ645" s="1422"/>
      <c r="FA645" s="1422"/>
    </row>
    <row r="646" spans="1:157" ht="12.95" customHeight="1">
      <c r="B646" s="44" t="s">
        <v>1435</v>
      </c>
      <c r="C646" s="1338"/>
      <c r="D646" s="1338"/>
      <c r="E646" s="1338"/>
      <c r="F646" s="1338"/>
      <c r="G646" s="1338"/>
      <c r="H646" s="1338"/>
      <c r="I646" s="1338"/>
      <c r="J646" s="1338"/>
      <c r="K646" s="1338"/>
      <c r="L646" s="1338"/>
      <c r="M646" s="1573" t="s">
        <v>1045</v>
      </c>
      <c r="N646" s="1573"/>
      <c r="O646" s="1573"/>
      <c r="P646" s="1573"/>
      <c r="Q646" s="1341"/>
      <c r="R646" s="1342"/>
      <c r="S646" s="1343"/>
      <c r="T646" s="1341"/>
      <c r="U646" s="1342"/>
      <c r="V646" s="1343"/>
      <c r="W646" s="1389"/>
      <c r="X646" s="1390"/>
      <c r="Y646" s="1391"/>
      <c r="Z646" s="1363" t="s">
        <v>1045</v>
      </c>
      <c r="AA646" s="1364"/>
      <c r="AB646" s="1365"/>
      <c r="AC646" s="1386"/>
      <c r="AD646" s="1387"/>
      <c r="AE646" s="1388"/>
      <c r="AF646" s="1435"/>
      <c r="AG646" s="1436"/>
      <c r="AH646" s="1436"/>
      <c r="AI646" s="1436"/>
      <c r="AJ646" s="1437"/>
      <c r="AK646" s="1331"/>
      <c r="AL646" s="1332"/>
      <c r="AM646" s="1332"/>
      <c r="AN646" s="1333"/>
      <c r="AO646" s="1346"/>
      <c r="AP646" s="1347"/>
      <c r="AQ646" s="1347"/>
      <c r="AR646" s="1347"/>
      <c r="AS646" s="1348"/>
      <c r="AT646" s="1031" t="str">
        <f t="shared" si="3"/>
        <v/>
      </c>
      <c r="AV646" s="3"/>
      <c r="AW646" s="3"/>
      <c r="AX646" s="3"/>
      <c r="AY646" s="3"/>
      <c r="AZ646" s="3"/>
      <c r="BA646" s="3" t="s">
        <v>1070</v>
      </c>
      <c r="BB646" s="3"/>
      <c r="BC646" s="3"/>
      <c r="BD646" s="3"/>
      <c r="BE646" s="3"/>
      <c r="BF646" s="3"/>
      <c r="BG646" s="3"/>
      <c r="BH646" s="3"/>
      <c r="BI646" s="3"/>
      <c r="BJ646" s="3"/>
      <c r="BK646" s="3"/>
      <c r="BL646" s="3"/>
      <c r="BM646" s="3"/>
      <c r="DA646" s="3"/>
      <c r="DB646" s="3"/>
      <c r="DC646" s="3"/>
      <c r="DD646" s="3"/>
      <c r="DE646" s="3"/>
      <c r="DF646" s="3"/>
      <c r="DX646" s="1422" t="e">
        <f t="shared" si="4"/>
        <v>#VALUE!</v>
      </c>
      <c r="DY646" s="1422"/>
      <c r="DZ646" s="1422"/>
      <c r="EA646" s="1422"/>
      <c r="EB646" s="1422"/>
      <c r="EC646" s="1422" t="e">
        <f t="shared" si="5"/>
        <v>#VALUE!</v>
      </c>
      <c r="ED646" s="1422"/>
      <c r="EE646" s="1422"/>
      <c r="EF646" s="1422"/>
      <c r="EG646" s="1422"/>
      <c r="EH646" s="1422">
        <f t="shared" si="6"/>
        <v>400.48387096774195</v>
      </c>
      <c r="EI646" s="1422"/>
      <c r="EJ646" s="1422"/>
      <c r="EK646" s="1422"/>
      <c r="EL646" s="1422"/>
      <c r="EM646" s="1422" t="e">
        <f t="shared" si="7"/>
        <v>#VALUE!</v>
      </c>
      <c r="EN646" s="1422"/>
      <c r="EO646" s="1422"/>
      <c r="EP646" s="1422"/>
      <c r="EQ646" s="1422"/>
      <c r="ER646" s="1422" t="e">
        <f t="shared" si="8"/>
        <v>#VALUE!</v>
      </c>
      <c r="ES646" s="1422"/>
      <c r="ET646" s="1422"/>
      <c r="EU646" s="1422"/>
      <c r="EV646" s="1422"/>
      <c r="EW646" s="1422" t="e">
        <f t="shared" si="9"/>
        <v>#VALUE!</v>
      </c>
      <c r="EX646" s="1422"/>
      <c r="EY646" s="1422"/>
      <c r="EZ646" s="1422"/>
      <c r="FA646" s="1422"/>
    </row>
    <row r="647" spans="1:157" ht="12.95" customHeight="1">
      <c r="B647" s="1423" t="s">
        <v>1464</v>
      </c>
      <c r="C647" s="1424"/>
      <c r="D647" s="1424"/>
      <c r="E647" s="1424"/>
      <c r="F647" s="1424"/>
      <c r="G647" s="1424"/>
      <c r="H647" s="1424"/>
      <c r="I647" s="1424"/>
      <c r="J647" s="1424"/>
      <c r="K647" s="1424"/>
      <c r="L647" s="1424"/>
      <c r="M647" s="1424"/>
      <c r="N647" s="1424"/>
      <c r="O647" s="1424"/>
      <c r="P647" s="1424"/>
      <c r="Q647" s="1424"/>
      <c r="R647" s="1424"/>
      <c r="S647" s="1424"/>
      <c r="T647" s="1424"/>
      <c r="U647" s="1424"/>
      <c r="V647" s="1424"/>
      <c r="W647" s="1424"/>
      <c r="X647" s="1424"/>
      <c r="Y647" s="1424"/>
      <c r="Z647" s="1424"/>
      <c r="AA647" s="1424"/>
      <c r="AB647" s="1424"/>
      <c r="AC647" s="1424"/>
      <c r="AD647" s="1424"/>
      <c r="AE647" s="1424"/>
      <c r="AF647" s="1424"/>
      <c r="AG647" s="1424"/>
      <c r="AH647" s="1424"/>
      <c r="AI647" s="1424"/>
      <c r="AJ647" s="1424"/>
      <c r="AK647" s="1424"/>
      <c r="AL647" s="1424"/>
      <c r="AM647" s="1424"/>
      <c r="AN647" s="1425"/>
      <c r="AO647" s="1410">
        <f>SUM(AO635:AR646)</f>
        <v>34700579</v>
      </c>
      <c r="AP647" s="1411"/>
      <c r="AQ647" s="1411"/>
      <c r="AR647" s="1411"/>
      <c r="AS647" s="141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2" t="e">
        <f t="shared" si="4"/>
        <v>#VALUE!</v>
      </c>
      <c r="DY647" s="1422"/>
      <c r="DZ647" s="1422"/>
      <c r="EA647" s="1422"/>
      <c r="EB647" s="1422"/>
      <c r="EC647" s="1422" t="e">
        <f t="shared" si="5"/>
        <v>#VALUE!</v>
      </c>
      <c r="ED647" s="1422"/>
      <c r="EE647" s="1422"/>
      <c r="EF647" s="1422"/>
      <c r="EG647" s="1422"/>
      <c r="EH647" s="1422">
        <f t="shared" si="6"/>
        <v>103.61290322580645</v>
      </c>
      <c r="EI647" s="1422"/>
      <c r="EJ647" s="1422"/>
      <c r="EK647" s="1422"/>
      <c r="EL647" s="1422"/>
      <c r="EM647" s="1422" t="e">
        <f t="shared" si="7"/>
        <v>#VALUE!</v>
      </c>
      <c r="EN647" s="1422"/>
      <c r="EO647" s="1422"/>
      <c r="EP647" s="1422"/>
      <c r="EQ647" s="1422"/>
      <c r="ER647" s="1422" t="e">
        <f t="shared" si="8"/>
        <v>#VALUE!</v>
      </c>
      <c r="ES647" s="1422"/>
      <c r="ET647" s="1422"/>
      <c r="EU647" s="1422"/>
      <c r="EV647" s="1422"/>
      <c r="EW647" s="1422" t="e">
        <f t="shared" si="9"/>
        <v>#VALUE!</v>
      </c>
      <c r="EX647" s="1422"/>
      <c r="EY647" s="1422"/>
      <c r="EZ647" s="1422"/>
      <c r="FA647" s="1422"/>
    </row>
    <row r="648" spans="1:157" ht="12.95" customHeight="1">
      <c r="B648" s="1423" t="s">
        <v>1465</v>
      </c>
      <c r="C648" s="1424"/>
      <c r="D648" s="1424"/>
      <c r="E648" s="1424"/>
      <c r="F648" s="1424"/>
      <c r="G648" s="1424"/>
      <c r="H648" s="1424"/>
      <c r="I648" s="1424"/>
      <c r="J648" s="1424"/>
      <c r="K648" s="1424"/>
      <c r="L648" s="1424"/>
      <c r="M648" s="1424"/>
      <c r="N648" s="1424"/>
      <c r="O648" s="1424"/>
      <c r="P648" s="1424"/>
      <c r="Q648" s="1424"/>
      <c r="R648" s="1424"/>
      <c r="S648" s="1424"/>
      <c r="T648" s="1424"/>
      <c r="U648" s="1424"/>
      <c r="V648" s="1424"/>
      <c r="W648" s="1424"/>
      <c r="X648" s="1424"/>
      <c r="Y648" s="1424"/>
      <c r="Z648" s="1424"/>
      <c r="AA648" s="1424"/>
      <c r="AB648" s="1424"/>
      <c r="AC648" s="1424"/>
      <c r="AD648" s="1424"/>
      <c r="AE648" s="1424"/>
      <c r="AF648" s="1424"/>
      <c r="AG648" s="1424"/>
      <c r="AH648" s="1424"/>
      <c r="AI648" s="1424"/>
      <c r="AJ648" s="1424"/>
      <c r="AK648" s="1424"/>
      <c r="AL648" s="1424"/>
      <c r="AM648" s="1424"/>
      <c r="AN648" s="1425"/>
      <c r="AO648" s="1346">
        <f>ROUND('[2]4%main spreadsheet'!$BW$22+'[2]4%main spreadsheet'!$BW$14-'[2]4%main spreadsheet'!$BW$95,0)</f>
        <v>47476045</v>
      </c>
      <c r="AP648" s="1347"/>
      <c r="AQ648" s="1347"/>
      <c r="AR648" s="1347"/>
      <c r="AS648" s="134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2" t="e">
        <f t="shared" si="4"/>
        <v>#VALUE!</v>
      </c>
      <c r="DY648" s="1422"/>
      <c r="DZ648" s="1422"/>
      <c r="EA648" s="1422"/>
      <c r="EB648" s="1422"/>
      <c r="EC648" s="1422" t="e">
        <f t="shared" si="5"/>
        <v>#VALUE!</v>
      </c>
      <c r="ED648" s="1422"/>
      <c r="EE648" s="1422"/>
      <c r="EF648" s="1422"/>
      <c r="EG648" s="1422"/>
      <c r="EH648" s="1422">
        <f t="shared" si="6"/>
        <v>436.25806451612902</v>
      </c>
      <c r="EI648" s="1422"/>
      <c r="EJ648" s="1422"/>
      <c r="EK648" s="1422"/>
      <c r="EL648" s="1422"/>
      <c r="EM648" s="1422" t="e">
        <f t="shared" si="7"/>
        <v>#VALUE!</v>
      </c>
      <c r="EN648" s="1422"/>
      <c r="EO648" s="1422"/>
      <c r="EP648" s="1422"/>
      <c r="EQ648" s="1422"/>
      <c r="ER648" s="1422" t="e">
        <f t="shared" si="8"/>
        <v>#VALUE!</v>
      </c>
      <c r="ES648" s="1422"/>
      <c r="ET648" s="1422"/>
      <c r="EU648" s="1422"/>
      <c r="EV648" s="1422"/>
      <c r="EW648" s="1422" t="e">
        <f t="shared" si="9"/>
        <v>#VALUE!</v>
      </c>
      <c r="EX648" s="1422"/>
      <c r="EY648" s="1422"/>
      <c r="EZ648" s="1422"/>
      <c r="FA648" s="1422"/>
    </row>
    <row r="649" spans="1:157" ht="12.95" customHeight="1">
      <c r="B649" s="1570" t="s">
        <v>1466</v>
      </c>
      <c r="C649" s="1571"/>
      <c r="D649" s="1571"/>
      <c r="E649" s="1571"/>
      <c r="F649" s="1571"/>
      <c r="G649" s="1571"/>
      <c r="H649" s="1571"/>
      <c r="I649" s="1571"/>
      <c r="J649" s="1571"/>
      <c r="K649" s="1571"/>
      <c r="L649" s="1571"/>
      <c r="M649" s="1571"/>
      <c r="N649" s="1571"/>
      <c r="O649" s="1571"/>
      <c r="P649" s="1571"/>
      <c r="Q649" s="1571"/>
      <c r="R649" s="1571"/>
      <c r="S649" s="1571"/>
      <c r="T649" s="1571"/>
      <c r="U649" s="1571"/>
      <c r="V649" s="1571"/>
      <c r="W649" s="1571"/>
      <c r="X649" s="1571"/>
      <c r="Y649" s="1571"/>
      <c r="Z649" s="1571"/>
      <c r="AA649" s="1571"/>
      <c r="AB649" s="1571"/>
      <c r="AC649" s="1571"/>
      <c r="AD649" s="1571"/>
      <c r="AE649" s="1571"/>
      <c r="AF649" s="1571"/>
      <c r="AG649" s="1571"/>
      <c r="AH649" s="1571"/>
      <c r="AI649" s="1571"/>
      <c r="AJ649" s="1571"/>
      <c r="AK649" s="1571"/>
      <c r="AL649" s="1571"/>
      <c r="AM649" s="1571"/>
      <c r="AN649" s="1572"/>
      <c r="AO649" s="1410">
        <f>AO647+AO648</f>
        <v>82176624</v>
      </c>
      <c r="AP649" s="1411"/>
      <c r="AQ649" s="1411"/>
      <c r="AR649" s="1411"/>
      <c r="AS649" s="141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2" t="e">
        <f t="shared" si="4"/>
        <v>#VALUE!</v>
      </c>
      <c r="DY649" s="1422"/>
      <c r="DZ649" s="1422"/>
      <c r="EA649" s="1422"/>
      <c r="EB649" s="1422"/>
      <c r="EC649" s="1422" t="e">
        <f t="shared" si="5"/>
        <v>#VALUE!</v>
      </c>
      <c r="ED649" s="1422"/>
      <c r="EE649" s="1422"/>
      <c r="EF649" s="1422"/>
      <c r="EG649" s="1422"/>
      <c r="EH649" s="1422">
        <f t="shared" si="6"/>
        <v>509.64516129032256</v>
      </c>
      <c r="EI649" s="1422"/>
      <c r="EJ649" s="1422"/>
      <c r="EK649" s="1422"/>
      <c r="EL649" s="1422"/>
      <c r="EM649" s="1422" t="e">
        <f t="shared" si="7"/>
        <v>#VALUE!</v>
      </c>
      <c r="EN649" s="1422"/>
      <c r="EO649" s="1422"/>
      <c r="EP649" s="1422"/>
      <c r="EQ649" s="1422"/>
      <c r="ER649" s="1422" t="e">
        <f t="shared" si="8"/>
        <v>#VALUE!</v>
      </c>
      <c r="ES649" s="1422"/>
      <c r="ET649" s="1422"/>
      <c r="EU649" s="1422"/>
      <c r="EV649" s="1422"/>
      <c r="EW649" s="1422" t="e">
        <f t="shared" si="9"/>
        <v>#VALUE!</v>
      </c>
      <c r="EX649" s="1422"/>
      <c r="EY649" s="1422"/>
      <c r="EZ649" s="1422"/>
      <c r="FA649" s="1422"/>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2" t="e">
        <f t="shared" si="4"/>
        <v>#VALUE!</v>
      </c>
      <c r="DY650" s="1422"/>
      <c r="DZ650" s="1422"/>
      <c r="EA650" s="1422"/>
      <c r="EB650" s="1422"/>
      <c r="EC650" s="1422" t="e">
        <f t="shared" si="5"/>
        <v>#VALUE!</v>
      </c>
      <c r="ED650" s="1422"/>
      <c r="EE650" s="1422"/>
      <c r="EF650" s="1422"/>
      <c r="EG650" s="1422"/>
      <c r="EH650" s="1422" t="e">
        <f t="shared" si="6"/>
        <v>#VALUE!</v>
      </c>
      <c r="EI650" s="1422"/>
      <c r="EJ650" s="1422"/>
      <c r="EK650" s="1422"/>
      <c r="EL650" s="1422"/>
      <c r="EM650" s="1422">
        <f t="shared" si="7"/>
        <v>296.69230769230768</v>
      </c>
      <c r="EN650" s="1422"/>
      <c r="EO650" s="1422"/>
      <c r="EP650" s="1422"/>
      <c r="EQ650" s="1422"/>
      <c r="ER650" s="1422" t="e">
        <f t="shared" si="8"/>
        <v>#VALUE!</v>
      </c>
      <c r="ES650" s="1422"/>
      <c r="ET650" s="1422"/>
      <c r="EU650" s="1422"/>
      <c r="EV650" s="1422"/>
      <c r="EW650" s="1422" t="e">
        <f t="shared" si="9"/>
        <v>#VALUE!</v>
      </c>
      <c r="EX650" s="1422"/>
      <c r="EY650" s="1422"/>
      <c r="EZ650" s="1422"/>
      <c r="FA650" s="1422"/>
    </row>
    <row r="651" spans="1:157" ht="12.95" customHeight="1">
      <c r="A651" s="47" t="s">
        <v>18</v>
      </c>
      <c r="B651" t="s">
        <v>1437</v>
      </c>
      <c r="G651" s="1349" t="str">
        <f>C635</f>
        <v>Key Bank Permanent Mortgage</v>
      </c>
      <c r="H651" s="1349"/>
      <c r="I651" s="1349"/>
      <c r="J651" s="1349"/>
      <c r="K651" s="1349"/>
      <c r="L651" s="1349"/>
      <c r="M651" s="1349"/>
      <c r="N651" s="1349"/>
      <c r="O651" s="1349"/>
      <c r="P651" s="1349"/>
      <c r="Q651" s="1349"/>
      <c r="R651" s="1349"/>
      <c r="S651" s="7"/>
      <c r="T651" s="47" t="s">
        <v>31</v>
      </c>
      <c r="U651" t="s">
        <v>1437</v>
      </c>
      <c r="Z651" s="1349" t="str">
        <f>C636</f>
        <v>HCD Joe Serna, Jr. FWHG</v>
      </c>
      <c r="AA651" s="1349"/>
      <c r="AB651" s="1349"/>
      <c r="AC651" s="1349"/>
      <c r="AD651" s="1349"/>
      <c r="AE651" s="1349"/>
      <c r="AF651" s="1349"/>
      <c r="AG651" s="1349"/>
      <c r="AH651" s="1349"/>
      <c r="AI651" s="1349"/>
      <c r="AJ651" s="1349"/>
      <c r="AK651" s="1349"/>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2" t="e">
        <f t="shared" si="4"/>
        <v>#VALUE!</v>
      </c>
      <c r="DY651" s="1422"/>
      <c r="DZ651" s="1422"/>
      <c r="EA651" s="1422"/>
      <c r="EB651" s="1422"/>
      <c r="EC651" s="1422" t="e">
        <f t="shared" si="5"/>
        <v>#VALUE!</v>
      </c>
      <c r="ED651" s="1422"/>
      <c r="EE651" s="1422"/>
      <c r="EF651" s="1422"/>
      <c r="EG651" s="1422"/>
      <c r="EH651" s="1422" t="e">
        <f t="shared" si="6"/>
        <v>#VALUE!</v>
      </c>
      <c r="EI651" s="1422"/>
      <c r="EJ651" s="1422"/>
      <c r="EK651" s="1422"/>
      <c r="EL651" s="1422"/>
      <c r="EM651" s="1422">
        <f t="shared" si="7"/>
        <v>356.53846153846155</v>
      </c>
      <c r="EN651" s="1422"/>
      <c r="EO651" s="1422"/>
      <c r="EP651" s="1422"/>
      <c r="EQ651" s="1422"/>
      <c r="ER651" s="1422" t="e">
        <f t="shared" si="8"/>
        <v>#VALUE!</v>
      </c>
      <c r="ES651" s="1422"/>
      <c r="ET651" s="1422"/>
      <c r="EU651" s="1422"/>
      <c r="EV651" s="1422"/>
      <c r="EW651" s="1422" t="e">
        <f t="shared" si="9"/>
        <v>#VALUE!</v>
      </c>
      <c r="EX651" s="1422"/>
      <c r="EY651" s="1422"/>
      <c r="EZ651" s="1422"/>
      <c r="FA651" s="1422"/>
    </row>
    <row r="652" spans="1:157" ht="12.95" customHeight="1">
      <c r="A652" s="19"/>
      <c r="B652" t="s">
        <v>1083</v>
      </c>
      <c r="G652" s="1335" t="s">
        <v>1438</v>
      </c>
      <c r="H652" s="1335"/>
      <c r="I652" s="1335"/>
      <c r="J652" s="1335"/>
      <c r="K652" s="1335"/>
      <c r="L652" s="1335"/>
      <c r="M652" s="1335"/>
      <c r="N652" s="1335"/>
      <c r="O652" s="1335"/>
      <c r="P652" s="1335"/>
      <c r="Q652" s="1335"/>
      <c r="R652" s="1335"/>
      <c r="S652" s="7"/>
      <c r="T652" s="19"/>
      <c r="U652" t="s">
        <v>1083</v>
      </c>
      <c r="Z652" s="1335" t="s">
        <v>1447</v>
      </c>
      <c r="AA652" s="1335"/>
      <c r="AB652" s="1335"/>
      <c r="AC652" s="1335"/>
      <c r="AD652" s="1335"/>
      <c r="AE652" s="1335"/>
      <c r="AF652" s="1335"/>
      <c r="AG652" s="1335"/>
      <c r="AH652" s="1335"/>
      <c r="AI652" s="1335"/>
      <c r="AJ652" s="1335"/>
      <c r="AK652" s="1335"/>
      <c r="AV652" s="3"/>
      <c r="AW652" s="3"/>
      <c r="AX652" s="3"/>
      <c r="AY652" s="3"/>
      <c r="AZ652" s="3"/>
      <c r="BA652" s="3"/>
      <c r="BB652" s="3"/>
      <c r="BC652" s="3"/>
      <c r="BD652" s="3"/>
      <c r="BE652" s="3"/>
      <c r="BF652" s="3"/>
      <c r="BG652" s="3"/>
      <c r="BH652" s="3"/>
      <c r="BI652" s="3"/>
      <c r="BJ652" s="3"/>
      <c r="BK652" s="3"/>
      <c r="BL652" s="3"/>
      <c r="BM652" s="3"/>
      <c r="DX652" s="1422" t="e">
        <f t="shared" si="4"/>
        <v>#VALUE!</v>
      </c>
      <c r="DY652" s="1422"/>
      <c r="DZ652" s="1422"/>
      <c r="EA652" s="1422"/>
      <c r="EB652" s="1422"/>
      <c r="EC652" s="1422" t="e">
        <f t="shared" si="5"/>
        <v>#VALUE!</v>
      </c>
      <c r="ED652" s="1422"/>
      <c r="EE652" s="1422"/>
      <c r="EF652" s="1422"/>
      <c r="EG652" s="1422"/>
      <c r="EH652" s="1422" t="e">
        <f t="shared" si="6"/>
        <v>#VALUE!</v>
      </c>
      <c r="EI652" s="1422"/>
      <c r="EJ652" s="1422"/>
      <c r="EK652" s="1422"/>
      <c r="EL652" s="1422"/>
      <c r="EM652" s="1422">
        <f t="shared" si="7"/>
        <v>343.07692307692309</v>
      </c>
      <c r="EN652" s="1422"/>
      <c r="EO652" s="1422"/>
      <c r="EP652" s="1422"/>
      <c r="EQ652" s="1422"/>
      <c r="ER652" s="1422" t="e">
        <f t="shared" si="8"/>
        <v>#VALUE!</v>
      </c>
      <c r="ES652" s="1422"/>
      <c r="ET652" s="1422"/>
      <c r="EU652" s="1422"/>
      <c r="EV652" s="1422"/>
      <c r="EW652" s="1422" t="e">
        <f t="shared" si="9"/>
        <v>#VALUE!</v>
      </c>
      <c r="EX652" s="1422"/>
      <c r="EY652" s="1422"/>
      <c r="EZ652" s="1422"/>
      <c r="FA652" s="1422"/>
    </row>
    <row r="653" spans="1:157" ht="12.95" customHeight="1">
      <c r="A653" s="19"/>
      <c r="B653" t="s">
        <v>947</v>
      </c>
      <c r="G653" s="1335" t="s">
        <v>1439</v>
      </c>
      <c r="H653" s="1335"/>
      <c r="I653" s="1335"/>
      <c r="J653" s="1335"/>
      <c r="K653" s="1335"/>
      <c r="L653" s="1335"/>
      <c r="M653" s="1335"/>
      <c r="N653" s="1335"/>
      <c r="O653" s="1335"/>
      <c r="P653" s="1335"/>
      <c r="Q653" s="1335"/>
      <c r="R653" s="1335"/>
      <c r="T653" s="19"/>
      <c r="U653" t="s">
        <v>947</v>
      </c>
      <c r="Z653" s="1350" t="s">
        <v>1448</v>
      </c>
      <c r="AA653" s="1350"/>
      <c r="AB653" s="1350"/>
      <c r="AC653" s="1350"/>
      <c r="AD653" s="1350"/>
      <c r="AE653" s="1350"/>
      <c r="AF653" s="1350"/>
      <c r="AG653" s="1350"/>
      <c r="AH653" s="1350"/>
      <c r="AI653" s="1350"/>
      <c r="AJ653" s="1350"/>
      <c r="AK653" s="1350"/>
      <c r="AV653" s="3"/>
      <c r="AW653" s="3"/>
      <c r="AX653" s="3"/>
      <c r="AY653" s="3"/>
      <c r="AZ653" s="3"/>
      <c r="BA653" s="3"/>
      <c r="BB653" s="3"/>
      <c r="BC653" s="3"/>
      <c r="BD653" s="3"/>
      <c r="BE653" s="3"/>
      <c r="BF653" s="3"/>
      <c r="BG653" s="3"/>
      <c r="BH653" s="3"/>
      <c r="BI653" s="3"/>
      <c r="BJ653" s="3"/>
      <c r="BK653" s="3"/>
      <c r="BL653" s="3"/>
      <c r="BM653" s="3"/>
      <c r="DX653" s="1422" t="e">
        <f t="shared" si="4"/>
        <v>#VALUE!</v>
      </c>
      <c r="DY653" s="1422"/>
      <c r="DZ653" s="1422"/>
      <c r="EA653" s="1422"/>
      <c r="EB653" s="1422"/>
      <c r="EC653" s="1422" t="e">
        <f t="shared" si="5"/>
        <v>#VALUE!</v>
      </c>
      <c r="ED653" s="1422"/>
      <c r="EE653" s="1422"/>
      <c r="EF653" s="1422"/>
      <c r="EG653" s="1422"/>
      <c r="EH653" s="1422" t="e">
        <f t="shared" si="6"/>
        <v>#VALUE!</v>
      </c>
      <c r="EI653" s="1422"/>
      <c r="EJ653" s="1422"/>
      <c r="EK653" s="1422"/>
      <c r="EL653" s="1422"/>
      <c r="EM653" s="1422">
        <f t="shared" si="7"/>
        <v>553.15384615384619</v>
      </c>
      <c r="EN653" s="1422"/>
      <c r="EO653" s="1422"/>
      <c r="EP653" s="1422"/>
      <c r="EQ653" s="1422"/>
      <c r="ER653" s="1422" t="e">
        <f t="shared" si="8"/>
        <v>#VALUE!</v>
      </c>
      <c r="ES653" s="1422"/>
      <c r="ET653" s="1422"/>
      <c r="EU653" s="1422"/>
      <c r="EV653" s="1422"/>
      <c r="EW653" s="1422" t="e">
        <f t="shared" si="9"/>
        <v>#VALUE!</v>
      </c>
      <c r="EX653" s="1422"/>
      <c r="EY653" s="1422"/>
      <c r="EZ653" s="1422"/>
      <c r="FA653" s="1422"/>
    </row>
    <row r="654" spans="1:157" ht="12.95" customHeight="1">
      <c r="A654" s="19"/>
      <c r="B654" t="s">
        <v>1440</v>
      </c>
      <c r="G654" s="1335" t="s">
        <v>1441</v>
      </c>
      <c r="H654" s="1335"/>
      <c r="I654" s="1335"/>
      <c r="J654" s="1335"/>
      <c r="K654" s="1335"/>
      <c r="L654" s="1335"/>
      <c r="M654" s="1335"/>
      <c r="N654" s="1335"/>
      <c r="O654" s="1335"/>
      <c r="P654" s="1335"/>
      <c r="Q654" s="1335"/>
      <c r="R654" s="1335"/>
      <c r="S654" s="7"/>
      <c r="T654" s="19"/>
      <c r="U654" t="s">
        <v>1440</v>
      </c>
      <c r="Z654" s="1350" t="s">
        <v>1449</v>
      </c>
      <c r="AA654" s="1350"/>
      <c r="AB654" s="1350"/>
      <c r="AC654" s="1350"/>
      <c r="AD654" s="1350"/>
      <c r="AE654" s="1350"/>
      <c r="AF654" s="1350"/>
      <c r="AG654" s="1350"/>
      <c r="AH654" s="1350"/>
      <c r="AI654" s="1350"/>
      <c r="AJ654" s="1350"/>
      <c r="AK654" s="1350"/>
      <c r="AZ654" s="3"/>
      <c r="BA654" s="3"/>
      <c r="BB654" s="3"/>
      <c r="BC654" s="3"/>
      <c r="BD654" s="3"/>
      <c r="BE654" s="3"/>
      <c r="BF654" s="3"/>
      <c r="BG654" s="3"/>
      <c r="BH654" s="3"/>
      <c r="BI654" s="3"/>
      <c r="BJ654" s="3"/>
      <c r="BK654" s="3"/>
      <c r="BL654" s="3"/>
      <c r="BM654" s="3"/>
      <c r="DX654" s="1422" t="e">
        <f t="shared" si="4"/>
        <v>#VALUE!</v>
      </c>
      <c r="DY654" s="1422"/>
      <c r="DZ654" s="1422"/>
      <c r="EA654" s="1422"/>
      <c r="EB654" s="1422"/>
      <c r="EC654" s="1422" t="e">
        <f t="shared" si="5"/>
        <v>#VALUE!</v>
      </c>
      <c r="ED654" s="1422"/>
      <c r="EE654" s="1422"/>
      <c r="EF654" s="1422"/>
      <c r="EG654" s="1422"/>
      <c r="EH654" s="1422">
        <f t="shared" si="6"/>
        <v>61.612903225806448</v>
      </c>
      <c r="EI654" s="1422"/>
      <c r="EJ654" s="1422"/>
      <c r="EK654" s="1422"/>
      <c r="EL654" s="1422"/>
      <c r="EM654" s="1422" t="e">
        <f t="shared" si="7"/>
        <v>#VALUE!</v>
      </c>
      <c r="EN654" s="1422"/>
      <c r="EO654" s="1422"/>
      <c r="EP654" s="1422"/>
      <c r="EQ654" s="1422"/>
      <c r="ER654" s="1422" t="e">
        <f t="shared" si="8"/>
        <v>#VALUE!</v>
      </c>
      <c r="ES654" s="1422"/>
      <c r="ET654" s="1422"/>
      <c r="EU654" s="1422"/>
      <c r="EV654" s="1422"/>
      <c r="EW654" s="1422" t="e">
        <f t="shared" si="9"/>
        <v>#VALUE!</v>
      </c>
      <c r="EX654" s="1422"/>
      <c r="EY654" s="1422"/>
      <c r="EZ654" s="1422"/>
      <c r="FA654" s="1422"/>
    </row>
    <row r="655" spans="1:157" ht="12.95" customHeight="1">
      <c r="A655" s="19"/>
      <c r="B655" t="s">
        <v>840</v>
      </c>
      <c r="G655" s="1334" t="s">
        <v>1442</v>
      </c>
      <c r="H655" s="1334"/>
      <c r="I655" s="1334"/>
      <c r="J655" s="1334"/>
      <c r="K655" s="1334"/>
      <c r="L655" s="1334"/>
      <c r="O655" s="918" t="s">
        <v>1088</v>
      </c>
      <c r="P655" s="1274"/>
      <c r="Q655" s="1274"/>
      <c r="R655" s="1274"/>
      <c r="S655" s="9"/>
      <c r="T655" s="19"/>
      <c r="U655" t="s">
        <v>840</v>
      </c>
      <c r="Z655" s="1334" t="s">
        <v>1450</v>
      </c>
      <c r="AA655" s="1334"/>
      <c r="AB655" s="1334"/>
      <c r="AC655" s="1334"/>
      <c r="AD655" s="1334"/>
      <c r="AE655" s="1334"/>
      <c r="AH655" s="918" t="s">
        <v>1088</v>
      </c>
      <c r="AI655" s="1274"/>
      <c r="AJ655" s="1274"/>
      <c r="AK655" s="1274"/>
      <c r="AZ655" s="3"/>
      <c r="BA655" s="3"/>
      <c r="BB655" s="3"/>
      <c r="BC655" s="3"/>
      <c r="BD655" s="3"/>
      <c r="BE655" s="3"/>
      <c r="BF655" s="3"/>
      <c r="BG655" s="3"/>
      <c r="BH655" s="3"/>
      <c r="BI655" s="3"/>
      <c r="BJ655" s="3"/>
      <c r="BK655" s="3"/>
      <c r="BL655" s="3"/>
      <c r="BM655" s="3"/>
      <c r="DX655" s="1422" t="e">
        <f t="shared" si="4"/>
        <v>#VALUE!</v>
      </c>
      <c r="DY655" s="1422"/>
      <c r="DZ655" s="1422"/>
      <c r="EA655" s="1422"/>
      <c r="EB655" s="1422"/>
      <c r="EC655" s="1422" t="e">
        <f t="shared" si="5"/>
        <v>#VALUE!</v>
      </c>
      <c r="ED655" s="1422"/>
      <c r="EE655" s="1422"/>
      <c r="EF655" s="1422"/>
      <c r="EG655" s="1422"/>
      <c r="EH655" s="1422" t="e">
        <f t="shared" si="6"/>
        <v>#VALUE!</v>
      </c>
      <c r="EI655" s="1422"/>
      <c r="EJ655" s="1422"/>
      <c r="EK655" s="1422"/>
      <c r="EL655" s="1422"/>
      <c r="EM655" s="1422">
        <f t="shared" si="7"/>
        <v>169.53846153846155</v>
      </c>
      <c r="EN655" s="1422"/>
      <c r="EO655" s="1422"/>
      <c r="EP655" s="1422"/>
      <c r="EQ655" s="1422"/>
      <c r="ER655" s="1422" t="e">
        <f t="shared" si="8"/>
        <v>#VALUE!</v>
      </c>
      <c r="ES655" s="1422"/>
      <c r="ET655" s="1422"/>
      <c r="EU655" s="1422"/>
      <c r="EV655" s="1422"/>
      <c r="EW655" s="1422" t="e">
        <f t="shared" si="9"/>
        <v>#VALUE!</v>
      </c>
      <c r="EX655" s="1422"/>
      <c r="EY655" s="1422"/>
      <c r="EZ655" s="1422"/>
      <c r="FA655" s="1422"/>
    </row>
    <row r="656" spans="1:157" ht="12.95" customHeight="1">
      <c r="A656" s="19"/>
      <c r="B656" t="s">
        <v>1443</v>
      </c>
      <c r="H656" s="1335" t="s">
        <v>1444</v>
      </c>
      <c r="I656" s="1335"/>
      <c r="J656" s="1335"/>
      <c r="K656" s="1335"/>
      <c r="L656" s="1335"/>
      <c r="M656" s="1335"/>
      <c r="N656" s="1335"/>
      <c r="O656" s="1335"/>
      <c r="P656" s="1335"/>
      <c r="Q656" s="1335"/>
      <c r="R656" s="1335"/>
      <c r="S656" s="7"/>
      <c r="T656" s="19"/>
      <c r="U656" t="s">
        <v>1443</v>
      </c>
      <c r="AA656" s="1335" t="s">
        <v>1444</v>
      </c>
      <c r="AB656" s="1335"/>
      <c r="AC656" s="1335"/>
      <c r="AD656" s="1335"/>
      <c r="AE656" s="1335"/>
      <c r="AF656" s="1335"/>
      <c r="AG656" s="1335"/>
      <c r="AH656" s="1335"/>
      <c r="AI656" s="1335"/>
      <c r="AJ656" s="1335"/>
      <c r="AK656" s="1335"/>
      <c r="AZ656" s="3"/>
      <c r="BA656" s="3"/>
      <c r="BB656" s="3"/>
      <c r="BC656" s="3"/>
      <c r="BD656" s="3"/>
      <c r="BE656" s="3"/>
      <c r="BF656" s="3"/>
      <c r="BG656" s="3"/>
      <c r="BH656" s="3"/>
      <c r="BI656" s="3"/>
      <c r="BJ656" s="3"/>
      <c r="BK656" s="3"/>
      <c r="BL656" s="3"/>
      <c r="BM656" s="3"/>
      <c r="DX656" s="1422" t="e">
        <f t="shared" si="4"/>
        <v>#VALUE!</v>
      </c>
      <c r="DY656" s="1422"/>
      <c r="DZ656" s="1422"/>
      <c r="EA656" s="1422"/>
      <c r="EB656" s="1422"/>
      <c r="EC656" s="1422" t="e">
        <f t="shared" si="5"/>
        <v>#VALUE!</v>
      </c>
      <c r="ED656" s="1422"/>
      <c r="EE656" s="1422"/>
      <c r="EF656" s="1422"/>
      <c r="EG656" s="1422"/>
      <c r="EH656" s="1422" t="e">
        <f t="shared" si="6"/>
        <v>#VALUE!</v>
      </c>
      <c r="EI656" s="1422"/>
      <c r="EJ656" s="1422"/>
      <c r="EK656" s="1422"/>
      <c r="EL656" s="1422"/>
      <c r="EM656" s="1422" t="e">
        <f t="shared" si="7"/>
        <v>#VALUE!</v>
      </c>
      <c r="EN656" s="1422"/>
      <c r="EO656" s="1422"/>
      <c r="EP656" s="1422"/>
      <c r="EQ656" s="1422"/>
      <c r="ER656" s="1422" t="e">
        <f t="shared" si="8"/>
        <v>#VALUE!</v>
      </c>
      <c r="ES656" s="1422"/>
      <c r="ET656" s="1422"/>
      <c r="EU656" s="1422"/>
      <c r="EV656" s="1422"/>
      <c r="EW656" s="1422" t="e">
        <f t="shared" si="9"/>
        <v>#VALUE!</v>
      </c>
      <c r="EX656" s="1422"/>
      <c r="EY656" s="1422"/>
      <c r="EZ656" s="1422"/>
      <c r="FA656" s="1422"/>
    </row>
    <row r="657" spans="1:157" ht="12.95" customHeight="1">
      <c r="A657" s="19"/>
      <c r="B657" t="s">
        <v>1446</v>
      </c>
      <c r="N657" s="1229" t="s">
        <v>862</v>
      </c>
      <c r="O657" s="1229"/>
      <c r="T657" s="19"/>
      <c r="U657" t="s">
        <v>1446</v>
      </c>
      <c r="AG657" s="1229" t="s">
        <v>862</v>
      </c>
      <c r="AH657" s="1229"/>
      <c r="AZ657" s="3"/>
      <c r="BA657" s="3"/>
      <c r="BB657" s="3"/>
      <c r="BC657" s="3"/>
      <c r="BD657" s="3"/>
      <c r="BE657" s="3"/>
      <c r="BF657" s="3"/>
      <c r="BG657" s="3"/>
      <c r="BH657" s="3"/>
      <c r="BI657" s="3"/>
      <c r="BJ657" s="3"/>
      <c r="BK657" s="3"/>
      <c r="BL657" s="3"/>
      <c r="BM657" s="3"/>
      <c r="DX657" s="1422" t="e">
        <f t="shared" si="4"/>
        <v>#VALUE!</v>
      </c>
      <c r="DY657" s="1422"/>
      <c r="DZ657" s="1422"/>
      <c r="EA657" s="1422"/>
      <c r="EB657" s="1422"/>
      <c r="EC657" s="1422" t="e">
        <f t="shared" si="5"/>
        <v>#VALUE!</v>
      </c>
      <c r="ED657" s="1422"/>
      <c r="EE657" s="1422"/>
      <c r="EF657" s="1422"/>
      <c r="EG657" s="1422"/>
      <c r="EH657" s="1422" t="e">
        <f t="shared" si="6"/>
        <v>#VALUE!</v>
      </c>
      <c r="EI657" s="1422"/>
      <c r="EJ657" s="1422"/>
      <c r="EK657" s="1422"/>
      <c r="EL657" s="1422"/>
      <c r="EM657" s="1422" t="e">
        <f t="shared" si="7"/>
        <v>#VALUE!</v>
      </c>
      <c r="EN657" s="1422"/>
      <c r="EO657" s="1422"/>
      <c r="EP657" s="1422"/>
      <c r="EQ657" s="1422"/>
      <c r="ER657" s="1422" t="e">
        <f t="shared" si="8"/>
        <v>#VALUE!</v>
      </c>
      <c r="ES657" s="1422"/>
      <c r="ET657" s="1422"/>
      <c r="EU657" s="1422"/>
      <c r="EV657" s="1422"/>
      <c r="EW657" s="1422" t="e">
        <f t="shared" si="9"/>
        <v>#VALUE!</v>
      </c>
      <c r="EX657" s="1422"/>
      <c r="EY657" s="1422"/>
      <c r="EZ657" s="1422"/>
      <c r="FA657" s="1422"/>
    </row>
    <row r="658" spans="1:157" ht="12.95" customHeight="1">
      <c r="A658" s="19"/>
      <c r="T658" s="19"/>
      <c r="AZ658" s="3"/>
      <c r="BA658" s="3"/>
      <c r="BB658" s="3"/>
      <c r="BC658" s="3"/>
      <c r="BD658" s="3"/>
      <c r="BE658" s="3"/>
      <c r="BF658" s="3"/>
      <c r="BG658" s="3"/>
      <c r="BH658" s="3"/>
      <c r="BI658" s="3"/>
      <c r="BJ658" s="3"/>
      <c r="BK658" s="3"/>
      <c r="BL658" s="3"/>
      <c r="BM658" s="3"/>
      <c r="DX658" s="1422" t="e">
        <f t="shared" si="4"/>
        <v>#VALUE!</v>
      </c>
      <c r="DY658" s="1422"/>
      <c r="DZ658" s="1422"/>
      <c r="EA658" s="1422"/>
      <c r="EB658" s="1422"/>
      <c r="EC658" s="1422" t="e">
        <f t="shared" si="5"/>
        <v>#VALUE!</v>
      </c>
      <c r="ED658" s="1422"/>
      <c r="EE658" s="1422"/>
      <c r="EF658" s="1422"/>
      <c r="EG658" s="1422"/>
      <c r="EH658" s="1422" t="e">
        <f t="shared" si="6"/>
        <v>#VALUE!</v>
      </c>
      <c r="EI658" s="1422"/>
      <c r="EJ658" s="1422"/>
      <c r="EK658" s="1422"/>
      <c r="EL658" s="1422"/>
      <c r="EM658" s="1422" t="e">
        <f t="shared" si="7"/>
        <v>#VALUE!</v>
      </c>
      <c r="EN658" s="1422"/>
      <c r="EO658" s="1422"/>
      <c r="EP658" s="1422"/>
      <c r="EQ658" s="1422"/>
      <c r="ER658" s="1422" t="e">
        <f t="shared" si="8"/>
        <v>#VALUE!</v>
      </c>
      <c r="ES658" s="1422"/>
      <c r="ET658" s="1422"/>
      <c r="EU658" s="1422"/>
      <c r="EV658" s="1422"/>
      <c r="EW658" s="1422" t="e">
        <f t="shared" si="9"/>
        <v>#VALUE!</v>
      </c>
      <c r="EX658" s="1422"/>
      <c r="EY658" s="1422"/>
      <c r="EZ658" s="1422"/>
      <c r="FA658" s="1422"/>
    </row>
    <row r="659" spans="1:157" ht="12.95" customHeight="1">
      <c r="A659" s="47" t="s">
        <v>39</v>
      </c>
      <c r="B659" t="s">
        <v>1437</v>
      </c>
      <c r="G659" s="1349" t="str">
        <f>C637</f>
        <v>HCD VHHP</v>
      </c>
      <c r="H659" s="1349"/>
      <c r="I659" s="1349"/>
      <c r="J659" s="1349"/>
      <c r="K659" s="1349"/>
      <c r="L659" s="1349"/>
      <c r="M659" s="1349"/>
      <c r="N659" s="1349"/>
      <c r="O659" s="1349"/>
      <c r="P659" s="1349"/>
      <c r="Q659" s="1349"/>
      <c r="R659" s="1349"/>
      <c r="T659" s="47" t="s">
        <v>82</v>
      </c>
      <c r="U659" t="s">
        <v>1437</v>
      </c>
      <c r="Z659" s="1349" t="str">
        <f>C638</f>
        <v>Deferred Developer Fee</v>
      </c>
      <c r="AA659" s="1349"/>
      <c r="AB659" s="1349"/>
      <c r="AC659" s="1349"/>
      <c r="AD659" s="1349"/>
      <c r="AE659" s="1349"/>
      <c r="AF659" s="1349"/>
      <c r="AG659" s="1349"/>
      <c r="AH659" s="1349"/>
      <c r="AI659" s="1349"/>
      <c r="AJ659" s="1349"/>
      <c r="AK659" s="1349"/>
      <c r="AZ659" s="3"/>
      <c r="BA659" s="3"/>
      <c r="BB659" s="3"/>
      <c r="BC659" s="3"/>
      <c r="BD659" s="3"/>
      <c r="BE659" s="3"/>
      <c r="BF659" s="3"/>
      <c r="BG659" s="3"/>
      <c r="BH659" s="3"/>
      <c r="BI659" s="3"/>
      <c r="BJ659" s="3"/>
      <c r="BK659" s="3"/>
      <c r="BL659" s="3"/>
      <c r="BM659" s="3"/>
      <c r="DX659" s="1422" t="e">
        <f t="shared" si="4"/>
        <v>#VALUE!</v>
      </c>
      <c r="DY659" s="1422"/>
      <c r="DZ659" s="1422"/>
      <c r="EA659" s="1422"/>
      <c r="EB659" s="1422"/>
      <c r="EC659" s="1422" t="e">
        <f t="shared" si="5"/>
        <v>#VALUE!</v>
      </c>
      <c r="ED659" s="1422"/>
      <c r="EE659" s="1422"/>
      <c r="EF659" s="1422"/>
      <c r="EG659" s="1422"/>
      <c r="EH659" s="1422" t="e">
        <f t="shared" si="6"/>
        <v>#VALUE!</v>
      </c>
      <c r="EI659" s="1422"/>
      <c r="EJ659" s="1422"/>
      <c r="EK659" s="1422"/>
      <c r="EL659" s="1422"/>
      <c r="EM659" s="1422" t="e">
        <f t="shared" si="7"/>
        <v>#VALUE!</v>
      </c>
      <c r="EN659" s="1422"/>
      <c r="EO659" s="1422"/>
      <c r="EP659" s="1422"/>
      <c r="EQ659" s="1422"/>
      <c r="ER659" s="1422" t="e">
        <f t="shared" si="8"/>
        <v>#VALUE!</v>
      </c>
      <c r="ES659" s="1422"/>
      <c r="ET659" s="1422"/>
      <c r="EU659" s="1422"/>
      <c r="EV659" s="1422"/>
      <c r="EW659" s="1422" t="e">
        <f t="shared" si="9"/>
        <v>#VALUE!</v>
      </c>
      <c r="EX659" s="1422"/>
      <c r="EY659" s="1422"/>
      <c r="EZ659" s="1422"/>
      <c r="FA659" s="1422"/>
    </row>
    <row r="660" spans="1:157" ht="12.95" customHeight="1">
      <c r="A660" s="19"/>
      <c r="B660" t="s">
        <v>1083</v>
      </c>
      <c r="G660" s="1335" t="s">
        <v>1447</v>
      </c>
      <c r="H660" s="1335"/>
      <c r="I660" s="1335"/>
      <c r="J660" s="1335"/>
      <c r="K660" s="1335"/>
      <c r="L660" s="1335"/>
      <c r="M660" s="1335"/>
      <c r="N660" s="1335"/>
      <c r="O660" s="1335"/>
      <c r="P660" s="1335"/>
      <c r="Q660" s="1335"/>
      <c r="R660" s="1335"/>
      <c r="T660" s="19"/>
      <c r="U660" t="s">
        <v>1083</v>
      </c>
      <c r="Z660" s="1335" t="s">
        <v>1084</v>
      </c>
      <c r="AA660" s="1335"/>
      <c r="AB660" s="1335"/>
      <c r="AC660" s="1335"/>
      <c r="AD660" s="1335"/>
      <c r="AE660" s="1335"/>
      <c r="AF660" s="1335"/>
      <c r="AG660" s="1335"/>
      <c r="AH660" s="1335"/>
      <c r="AI660" s="1335"/>
      <c r="AJ660" s="1335"/>
      <c r="AK660" s="1335"/>
      <c r="AZ660" s="3"/>
      <c r="BA660" s="3"/>
      <c r="BB660" s="3"/>
      <c r="BC660" s="3"/>
      <c r="BD660" s="3"/>
      <c r="BE660" s="3"/>
      <c r="BF660" s="3"/>
      <c r="BG660" s="3"/>
      <c r="BH660" s="3"/>
      <c r="BI660" s="3"/>
      <c r="BJ660" s="3"/>
      <c r="BK660" s="3"/>
      <c r="BL660" s="3"/>
      <c r="BM660" s="3"/>
      <c r="DX660" s="1422" t="e">
        <f t="shared" si="4"/>
        <v>#VALUE!</v>
      </c>
      <c r="DY660" s="1422"/>
      <c r="DZ660" s="1422"/>
      <c r="EA660" s="1422"/>
      <c r="EB660" s="1422"/>
      <c r="EC660" s="1422" t="e">
        <f t="shared" si="5"/>
        <v>#VALUE!</v>
      </c>
      <c r="ED660" s="1422"/>
      <c r="EE660" s="1422"/>
      <c r="EF660" s="1422"/>
      <c r="EG660" s="1422"/>
      <c r="EH660" s="1422" t="e">
        <f t="shared" si="6"/>
        <v>#VALUE!</v>
      </c>
      <c r="EI660" s="1422"/>
      <c r="EJ660" s="1422"/>
      <c r="EK660" s="1422"/>
      <c r="EL660" s="1422"/>
      <c r="EM660" s="1422" t="e">
        <f t="shared" si="7"/>
        <v>#VALUE!</v>
      </c>
      <c r="EN660" s="1422"/>
      <c r="EO660" s="1422"/>
      <c r="EP660" s="1422"/>
      <c r="EQ660" s="1422"/>
      <c r="ER660" s="1422" t="e">
        <f t="shared" si="8"/>
        <v>#VALUE!</v>
      </c>
      <c r="ES660" s="1422"/>
      <c r="ET660" s="1422"/>
      <c r="EU660" s="1422"/>
      <c r="EV660" s="1422"/>
      <c r="EW660" s="1422" t="e">
        <f t="shared" si="9"/>
        <v>#VALUE!</v>
      </c>
      <c r="EX660" s="1422"/>
      <c r="EY660" s="1422"/>
      <c r="EZ660" s="1422"/>
      <c r="FA660" s="1422"/>
    </row>
    <row r="661" spans="1:157" ht="12.95" customHeight="1">
      <c r="A661" s="19"/>
      <c r="B661" t="s">
        <v>947</v>
      </c>
      <c r="G661" s="1350" t="s">
        <v>1448</v>
      </c>
      <c r="H661" s="1350"/>
      <c r="I661" s="1350"/>
      <c r="J661" s="1350"/>
      <c r="K661" s="1350"/>
      <c r="L661" s="1350"/>
      <c r="M661" s="1350"/>
      <c r="N661" s="1350"/>
      <c r="O661" s="1350"/>
      <c r="P661" s="1350"/>
      <c r="Q661" s="1350"/>
      <c r="R661" s="1350"/>
      <c r="T661" s="19"/>
      <c r="U661" t="s">
        <v>947</v>
      </c>
      <c r="Z661" s="1350" t="s">
        <v>1452</v>
      </c>
      <c r="AA661" s="1350"/>
      <c r="AB661" s="1350"/>
      <c r="AC661" s="1350"/>
      <c r="AD661" s="1350"/>
      <c r="AE661" s="1350"/>
      <c r="AF661" s="1350"/>
      <c r="AG661" s="1350"/>
      <c r="AH661" s="1350"/>
      <c r="AI661" s="1350"/>
      <c r="AJ661" s="1350"/>
      <c r="AK661" s="1350"/>
      <c r="AZ661" s="3"/>
      <c r="BA661" s="3"/>
      <c r="BB661" s="3"/>
      <c r="BC661" s="3"/>
      <c r="BD661" s="3"/>
      <c r="BE661" s="3"/>
      <c r="BF661" s="3"/>
      <c r="BG661" s="3"/>
      <c r="BH661" s="3"/>
      <c r="BI661" s="3"/>
      <c r="BJ661" s="3"/>
      <c r="BK661" s="3"/>
      <c r="BL661" s="3"/>
      <c r="BM661" s="3"/>
      <c r="DX661" s="1422" t="e">
        <f t="shared" si="4"/>
        <v>#VALUE!</v>
      </c>
      <c r="DY661" s="1422"/>
      <c r="DZ661" s="1422"/>
      <c r="EA661" s="1422"/>
      <c r="EB661" s="1422"/>
      <c r="EC661" s="1422" t="e">
        <f t="shared" si="5"/>
        <v>#VALUE!</v>
      </c>
      <c r="ED661" s="1422"/>
      <c r="EE661" s="1422"/>
      <c r="EF661" s="1422"/>
      <c r="EG661" s="1422"/>
      <c r="EH661" s="1422" t="e">
        <f t="shared" si="6"/>
        <v>#VALUE!</v>
      </c>
      <c r="EI661" s="1422"/>
      <c r="EJ661" s="1422"/>
      <c r="EK661" s="1422"/>
      <c r="EL661" s="1422"/>
      <c r="EM661" s="1422" t="e">
        <f t="shared" si="7"/>
        <v>#VALUE!</v>
      </c>
      <c r="EN661" s="1422"/>
      <c r="EO661" s="1422"/>
      <c r="EP661" s="1422"/>
      <c r="EQ661" s="1422"/>
      <c r="ER661" s="1422" t="e">
        <f t="shared" si="8"/>
        <v>#VALUE!</v>
      </c>
      <c r="ES661" s="1422"/>
      <c r="ET661" s="1422"/>
      <c r="EU661" s="1422"/>
      <c r="EV661" s="1422"/>
      <c r="EW661" s="1422" t="e">
        <f t="shared" si="9"/>
        <v>#VALUE!</v>
      </c>
      <c r="EX661" s="1422"/>
      <c r="EY661" s="1422"/>
      <c r="EZ661" s="1422"/>
      <c r="FA661" s="1422"/>
    </row>
    <row r="662" spans="1:157" ht="12.95" customHeight="1">
      <c r="A662" s="19"/>
      <c r="B662" t="s">
        <v>1440</v>
      </c>
      <c r="G662" s="1350" t="s">
        <v>1467</v>
      </c>
      <c r="H662" s="1350"/>
      <c r="I662" s="1350"/>
      <c r="J662" s="1350"/>
      <c r="K662" s="1350"/>
      <c r="L662" s="1350"/>
      <c r="M662" s="1350"/>
      <c r="N662" s="1350"/>
      <c r="O662" s="1350"/>
      <c r="P662" s="1350"/>
      <c r="Q662" s="1350"/>
      <c r="R662" s="1350"/>
      <c r="T662" s="19"/>
      <c r="U662" t="s">
        <v>1440</v>
      </c>
      <c r="Z662" s="1350" t="s">
        <v>806</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DX662" s="1422" t="e">
        <f t="shared" si="4"/>
        <v>#VALUE!</v>
      </c>
      <c r="DY662" s="1422"/>
      <c r="DZ662" s="1422"/>
      <c r="EA662" s="1422"/>
      <c r="EB662" s="1422"/>
      <c r="EC662" s="1422" t="e">
        <f t="shared" si="5"/>
        <v>#VALUE!</v>
      </c>
      <c r="ED662" s="1422"/>
      <c r="EE662" s="1422"/>
      <c r="EF662" s="1422"/>
      <c r="EG662" s="1422"/>
      <c r="EH662" s="1422" t="e">
        <f t="shared" si="6"/>
        <v>#VALUE!</v>
      </c>
      <c r="EI662" s="1422"/>
      <c r="EJ662" s="1422"/>
      <c r="EK662" s="1422"/>
      <c r="EL662" s="1422"/>
      <c r="EM662" s="1422" t="e">
        <f t="shared" si="7"/>
        <v>#VALUE!</v>
      </c>
      <c r="EN662" s="1422"/>
      <c r="EO662" s="1422"/>
      <c r="EP662" s="1422"/>
      <c r="EQ662" s="1422"/>
      <c r="ER662" s="1422" t="e">
        <f t="shared" si="8"/>
        <v>#VALUE!</v>
      </c>
      <c r="ES662" s="1422"/>
      <c r="ET662" s="1422"/>
      <c r="EU662" s="1422"/>
      <c r="EV662" s="1422"/>
      <c r="EW662" s="1422" t="e">
        <f t="shared" si="9"/>
        <v>#VALUE!</v>
      </c>
      <c r="EX662" s="1422"/>
      <c r="EY662" s="1422"/>
      <c r="EZ662" s="1422"/>
      <c r="FA662" s="1422"/>
    </row>
    <row r="663" spans="1:157" ht="12.95" customHeight="1">
      <c r="A663" s="19"/>
      <c r="B663" t="s">
        <v>840</v>
      </c>
      <c r="G663" s="1334" t="s">
        <v>1468</v>
      </c>
      <c r="H663" s="1334"/>
      <c r="I663" s="1334"/>
      <c r="J663" s="1334"/>
      <c r="K663" s="1334"/>
      <c r="L663" s="1334"/>
      <c r="O663" s="918" t="s">
        <v>1088</v>
      </c>
      <c r="P663" s="1274"/>
      <c r="Q663" s="1274"/>
      <c r="R663" s="1274"/>
      <c r="T663" s="19"/>
      <c r="U663" t="s">
        <v>840</v>
      </c>
      <c r="Z663" s="1334" t="s">
        <v>1142</v>
      </c>
      <c r="AA663" s="1334"/>
      <c r="AB663" s="1334"/>
      <c r="AC663" s="1334"/>
      <c r="AD663" s="1334"/>
      <c r="AE663" s="1334"/>
      <c r="AH663" s="918" t="s">
        <v>1088</v>
      </c>
      <c r="AI663" s="1274"/>
      <c r="AJ663" s="1274"/>
      <c r="AK663" s="1274"/>
      <c r="AZ663" s="3"/>
      <c r="BA663" s="3"/>
      <c r="BB663" s="3"/>
      <c r="BC663" s="3"/>
      <c r="BD663" s="3"/>
      <c r="BE663" s="3"/>
      <c r="BF663" s="3"/>
      <c r="BG663" s="3"/>
      <c r="BH663" s="3"/>
      <c r="BI663" s="3"/>
      <c r="BJ663" s="3"/>
      <c r="BK663" s="3"/>
      <c r="BL663" s="3"/>
      <c r="BM663" s="3"/>
      <c r="DX663" s="1422" t="e">
        <f t="shared" si="4"/>
        <v>#VALUE!</v>
      </c>
      <c r="DY663" s="1422"/>
      <c r="DZ663" s="1422"/>
      <c r="EA663" s="1422"/>
      <c r="EB663" s="1422"/>
      <c r="EC663" s="1422" t="e">
        <f t="shared" si="5"/>
        <v>#VALUE!</v>
      </c>
      <c r="ED663" s="1422"/>
      <c r="EE663" s="1422"/>
      <c r="EF663" s="1422"/>
      <c r="EG663" s="1422"/>
      <c r="EH663" s="1422" t="e">
        <f t="shared" si="6"/>
        <v>#VALUE!</v>
      </c>
      <c r="EI663" s="1422"/>
      <c r="EJ663" s="1422"/>
      <c r="EK663" s="1422"/>
      <c r="EL663" s="1422"/>
      <c r="EM663" s="1422" t="e">
        <f t="shared" si="7"/>
        <v>#VALUE!</v>
      </c>
      <c r="EN663" s="1422"/>
      <c r="EO663" s="1422"/>
      <c r="EP663" s="1422"/>
      <c r="EQ663" s="1422"/>
      <c r="ER663" s="1422" t="e">
        <f t="shared" si="8"/>
        <v>#VALUE!</v>
      </c>
      <c r="ES663" s="1422"/>
      <c r="ET663" s="1422"/>
      <c r="EU663" s="1422"/>
      <c r="EV663" s="1422"/>
      <c r="EW663" s="1422" t="e">
        <f t="shared" si="9"/>
        <v>#VALUE!</v>
      </c>
      <c r="EX663" s="1422"/>
      <c r="EY663" s="1422"/>
      <c r="EZ663" s="1422"/>
      <c r="FA663" s="1422"/>
    </row>
    <row r="664" spans="1:157" ht="12.95" customHeight="1">
      <c r="A664" s="19"/>
      <c r="B664" t="s">
        <v>1443</v>
      </c>
      <c r="H664" s="1335" t="s">
        <v>1444</v>
      </c>
      <c r="I664" s="1335"/>
      <c r="J664" s="1335"/>
      <c r="K664" s="1335"/>
      <c r="L664" s="1335"/>
      <c r="M664" s="1335"/>
      <c r="N664" s="1335"/>
      <c r="O664" s="1335"/>
      <c r="P664" s="1335"/>
      <c r="Q664" s="1335"/>
      <c r="R664" s="1335"/>
      <c r="T664" s="19"/>
      <c r="U664" t="s">
        <v>1443</v>
      </c>
      <c r="AA664" s="1335"/>
      <c r="AB664" s="1335"/>
      <c r="AC664" s="1335"/>
      <c r="AD664" s="1335"/>
      <c r="AE664" s="1335"/>
      <c r="AF664" s="1335"/>
      <c r="AG664" s="1335"/>
      <c r="AH664" s="1335"/>
      <c r="AI664" s="1335"/>
      <c r="AJ664" s="1335"/>
      <c r="AK664" s="1335"/>
      <c r="AZ664" s="3"/>
      <c r="BA664" s="3"/>
      <c r="BB664" s="3"/>
      <c r="BC664" s="3"/>
      <c r="BD664" s="3"/>
      <c r="BE664" s="3"/>
      <c r="BF664" s="3"/>
      <c r="BG664" s="3"/>
      <c r="BH664" s="3"/>
      <c r="BI664" s="3"/>
      <c r="BJ664" s="3"/>
      <c r="BK664" s="3"/>
      <c r="BL664" s="3"/>
      <c r="BM664" s="3"/>
      <c r="DX664" s="1422" t="e">
        <f t="shared" si="4"/>
        <v>#VALUE!</v>
      </c>
      <c r="DY664" s="1422"/>
      <c r="DZ664" s="1422"/>
      <c r="EA664" s="1422"/>
      <c r="EB664" s="1422"/>
      <c r="EC664" s="1422" t="e">
        <f t="shared" si="5"/>
        <v>#VALUE!</v>
      </c>
      <c r="ED664" s="1422"/>
      <c r="EE664" s="1422"/>
      <c r="EF664" s="1422"/>
      <c r="EG664" s="1422"/>
      <c r="EH664" s="1422" t="e">
        <f t="shared" si="6"/>
        <v>#VALUE!</v>
      </c>
      <c r="EI664" s="1422"/>
      <c r="EJ664" s="1422"/>
      <c r="EK664" s="1422"/>
      <c r="EL664" s="1422"/>
      <c r="EM664" s="1422" t="e">
        <f t="shared" si="7"/>
        <v>#VALUE!</v>
      </c>
      <c r="EN664" s="1422"/>
      <c r="EO664" s="1422"/>
      <c r="EP664" s="1422"/>
      <c r="EQ664" s="1422"/>
      <c r="ER664" s="1422" t="e">
        <f t="shared" si="8"/>
        <v>#VALUE!</v>
      </c>
      <c r="ES664" s="1422"/>
      <c r="ET664" s="1422"/>
      <c r="EU664" s="1422"/>
      <c r="EV664" s="1422"/>
      <c r="EW664" s="1422" t="e">
        <f t="shared" si="9"/>
        <v>#VALUE!</v>
      </c>
      <c r="EX664" s="1422"/>
      <c r="EY664" s="1422"/>
      <c r="EZ664" s="1422"/>
      <c r="FA664" s="1422"/>
    </row>
    <row r="665" spans="1:157" ht="12.95" customHeight="1">
      <c r="A665" s="19"/>
      <c r="B665" t="s">
        <v>1446</v>
      </c>
      <c r="N665" s="1229" t="s">
        <v>862</v>
      </c>
      <c r="O665" s="1229"/>
      <c r="T665" s="19"/>
      <c r="U665" t="s">
        <v>1446</v>
      </c>
      <c r="AG665" s="1229" t="s">
        <v>862</v>
      </c>
      <c r="AH665" s="1229"/>
      <c r="AZ665" s="3"/>
      <c r="BA665" s="3"/>
      <c r="BB665" s="3"/>
      <c r="BC665" s="3"/>
      <c r="BD665" s="3"/>
      <c r="BE665" s="3"/>
      <c r="BF665" s="3"/>
      <c r="BG665" s="3"/>
      <c r="BH665" s="3"/>
      <c r="BI665" s="3"/>
      <c r="BJ665" s="3"/>
      <c r="BK665" s="3"/>
      <c r="BL665" s="3"/>
      <c r="BM665" s="3"/>
      <c r="DX665" s="1422" t="e">
        <f t="shared" si="4"/>
        <v>#VALUE!</v>
      </c>
      <c r="DY665" s="1422"/>
      <c r="DZ665" s="1422"/>
      <c r="EA665" s="1422"/>
      <c r="EB665" s="1422"/>
      <c r="EC665" s="1422" t="e">
        <f t="shared" si="5"/>
        <v>#VALUE!</v>
      </c>
      <c r="ED665" s="1422"/>
      <c r="EE665" s="1422"/>
      <c r="EF665" s="1422"/>
      <c r="EG665" s="1422"/>
      <c r="EH665" s="1422" t="e">
        <f t="shared" si="6"/>
        <v>#VALUE!</v>
      </c>
      <c r="EI665" s="1422"/>
      <c r="EJ665" s="1422"/>
      <c r="EK665" s="1422"/>
      <c r="EL665" s="1422"/>
      <c r="EM665" s="1422" t="e">
        <f t="shared" si="7"/>
        <v>#VALUE!</v>
      </c>
      <c r="EN665" s="1422"/>
      <c r="EO665" s="1422"/>
      <c r="EP665" s="1422"/>
      <c r="EQ665" s="1422"/>
      <c r="ER665" s="1422" t="e">
        <f t="shared" si="8"/>
        <v>#VALUE!</v>
      </c>
      <c r="ES665" s="1422"/>
      <c r="ET665" s="1422"/>
      <c r="EU665" s="1422"/>
      <c r="EV665" s="1422"/>
      <c r="EW665" s="1422" t="e">
        <f t="shared" si="9"/>
        <v>#VALUE!</v>
      </c>
      <c r="EX665" s="1422"/>
      <c r="EY665" s="1422"/>
      <c r="EZ665" s="1422"/>
      <c r="FA665" s="1422"/>
    </row>
    <row r="666" spans="1:157" ht="12.95" customHeight="1">
      <c r="A666" s="19"/>
      <c r="T666" s="19"/>
      <c r="AZ666" s="3"/>
      <c r="BA666" s="3"/>
      <c r="BB666" s="3"/>
      <c r="BC666" s="3"/>
      <c r="BD666" s="3"/>
      <c r="BE666" s="3"/>
      <c r="BF666" s="3"/>
      <c r="BG666" s="3"/>
      <c r="BH666" s="3"/>
      <c r="BI666" s="3"/>
      <c r="BJ666" s="3"/>
      <c r="BK666" s="3"/>
      <c r="BL666" s="3"/>
      <c r="BM666" s="3"/>
      <c r="DX666" s="1422" t="e">
        <f t="shared" si="4"/>
        <v>#VALUE!</v>
      </c>
      <c r="DY666" s="1422"/>
      <c r="DZ666" s="1422"/>
      <c r="EA666" s="1422"/>
      <c r="EB666" s="1422"/>
      <c r="EC666" s="1422" t="e">
        <f t="shared" si="5"/>
        <v>#VALUE!</v>
      </c>
      <c r="ED666" s="1422"/>
      <c r="EE666" s="1422"/>
      <c r="EF666" s="1422"/>
      <c r="EG666" s="1422"/>
      <c r="EH666" s="1422" t="e">
        <f t="shared" si="6"/>
        <v>#VALUE!</v>
      </c>
      <c r="EI666" s="1422"/>
      <c r="EJ666" s="1422"/>
      <c r="EK666" s="1422"/>
      <c r="EL666" s="1422"/>
      <c r="EM666" s="1422" t="e">
        <f t="shared" si="7"/>
        <v>#VALUE!</v>
      </c>
      <c r="EN666" s="1422"/>
      <c r="EO666" s="1422"/>
      <c r="EP666" s="1422"/>
      <c r="EQ666" s="1422"/>
      <c r="ER666" s="1422" t="e">
        <f t="shared" si="8"/>
        <v>#VALUE!</v>
      </c>
      <c r="ES666" s="1422"/>
      <c r="ET666" s="1422"/>
      <c r="EU666" s="1422"/>
      <c r="EV666" s="1422"/>
      <c r="EW666" s="1422" t="e">
        <f t="shared" si="9"/>
        <v>#VALUE!</v>
      </c>
      <c r="EX666" s="1422"/>
      <c r="EY666" s="1422"/>
      <c r="EZ666" s="1422"/>
      <c r="FA666" s="1422"/>
    </row>
    <row r="667" spans="1:157" ht="12.95" customHeight="1">
      <c r="A667" s="47" t="s">
        <v>86</v>
      </c>
      <c r="B667" t="s">
        <v>1437</v>
      </c>
      <c r="G667" s="1349" t="str">
        <f>C639</f>
        <v>Accrued Soft Loan Interest</v>
      </c>
      <c r="H667" s="1349"/>
      <c r="I667" s="1349"/>
      <c r="J667" s="1349"/>
      <c r="K667" s="1349"/>
      <c r="L667" s="1349"/>
      <c r="M667" s="1349"/>
      <c r="N667" s="1349"/>
      <c r="O667" s="1349"/>
      <c r="P667" s="1349"/>
      <c r="Q667" s="1349"/>
      <c r="R667" s="1349"/>
      <c r="T667" s="47" t="s">
        <v>1426</v>
      </c>
      <c r="U667" t="s">
        <v>1437</v>
      </c>
      <c r="Z667" s="1349" t="str">
        <f>C640</f>
        <v>GP Equity</v>
      </c>
      <c r="AA667" s="1349"/>
      <c r="AB667" s="1349"/>
      <c r="AC667" s="1349"/>
      <c r="AD667" s="1349"/>
      <c r="AE667" s="1349"/>
      <c r="AF667" s="1349"/>
      <c r="AG667" s="1349"/>
      <c r="AH667" s="1349"/>
      <c r="AI667" s="1349"/>
      <c r="AJ667" s="1349"/>
      <c r="AK667" s="1349"/>
      <c r="AZ667" s="3"/>
      <c r="BA667" s="3"/>
      <c r="BB667" s="3"/>
      <c r="BC667" s="3"/>
      <c r="BD667" s="3"/>
      <c r="BE667" s="3"/>
      <c r="BF667" s="3"/>
      <c r="BG667" s="3"/>
      <c r="BH667" s="3"/>
      <c r="BI667" s="3"/>
      <c r="BJ667" s="3"/>
      <c r="BK667" s="3"/>
      <c r="BL667" s="3"/>
      <c r="BM667" s="3"/>
      <c r="DX667" s="1422" t="e">
        <f t="shared" si="4"/>
        <v>#VALUE!</v>
      </c>
      <c r="DY667" s="1422"/>
      <c r="DZ667" s="1422"/>
      <c r="EA667" s="1422"/>
      <c r="EB667" s="1422"/>
      <c r="EC667" s="1422" t="e">
        <f t="shared" si="5"/>
        <v>#VALUE!</v>
      </c>
      <c r="ED667" s="1422"/>
      <c r="EE667" s="1422"/>
      <c r="EF667" s="1422"/>
      <c r="EG667" s="1422"/>
      <c r="EH667" s="1422" t="e">
        <f t="shared" si="6"/>
        <v>#VALUE!</v>
      </c>
      <c r="EI667" s="1422"/>
      <c r="EJ667" s="1422"/>
      <c r="EK667" s="1422"/>
      <c r="EL667" s="1422"/>
      <c r="EM667" s="1422" t="e">
        <f t="shared" si="7"/>
        <v>#VALUE!</v>
      </c>
      <c r="EN667" s="1422"/>
      <c r="EO667" s="1422"/>
      <c r="EP667" s="1422"/>
      <c r="EQ667" s="1422"/>
      <c r="ER667" s="1422" t="e">
        <f t="shared" si="8"/>
        <v>#VALUE!</v>
      </c>
      <c r="ES667" s="1422"/>
      <c r="ET667" s="1422"/>
      <c r="EU667" s="1422"/>
      <c r="EV667" s="1422"/>
      <c r="EW667" s="1422" t="e">
        <f t="shared" si="9"/>
        <v>#VALUE!</v>
      </c>
      <c r="EX667" s="1422"/>
      <c r="EY667" s="1422"/>
      <c r="EZ667" s="1422"/>
      <c r="FA667" s="1422"/>
    </row>
    <row r="668" spans="1:157" ht="12.95" customHeight="1">
      <c r="A668" s="19"/>
      <c r="B668" t="s">
        <v>1083</v>
      </c>
      <c r="G668" s="1335" t="s">
        <v>1447</v>
      </c>
      <c r="H668" s="1335"/>
      <c r="I668" s="1335"/>
      <c r="J668" s="1335"/>
      <c r="K668" s="1335"/>
      <c r="L668" s="1335"/>
      <c r="M668" s="1335"/>
      <c r="N668" s="1335"/>
      <c r="O668" s="1335"/>
      <c r="P668" s="1335"/>
      <c r="Q668" s="1335"/>
      <c r="R668" s="1335"/>
      <c r="T668" s="19"/>
      <c r="U668" t="s">
        <v>1083</v>
      </c>
      <c r="Z668" s="1335" t="s">
        <v>1084</v>
      </c>
      <c r="AA668" s="1335"/>
      <c r="AB668" s="1335"/>
      <c r="AC668" s="1335"/>
      <c r="AD668" s="1335"/>
      <c r="AE668" s="1335"/>
      <c r="AF668" s="1335"/>
      <c r="AG668" s="1335"/>
      <c r="AH668" s="1335"/>
      <c r="AI668" s="1335"/>
      <c r="AJ668" s="1335"/>
      <c r="AK668" s="1335"/>
      <c r="AZ668" s="3"/>
      <c r="BA668" s="3"/>
      <c r="BB668" s="3"/>
      <c r="BC668" s="3"/>
      <c r="BD668" s="3"/>
      <c r="BE668" s="3"/>
      <c r="BF668" s="3"/>
      <c r="BG668" s="3"/>
      <c r="BH668" s="3"/>
      <c r="BI668" s="3"/>
      <c r="BJ668" s="3"/>
      <c r="BK668" s="3"/>
      <c r="BL668" s="3"/>
      <c r="BM668" s="3"/>
      <c r="DX668" s="1422" t="e">
        <f t="shared" si="4"/>
        <v>#VALUE!</v>
      </c>
      <c r="DY668" s="1422"/>
      <c r="DZ668" s="1422"/>
      <c r="EA668" s="1422"/>
      <c r="EB668" s="1422"/>
      <c r="EC668" s="1422" t="e">
        <f t="shared" si="5"/>
        <v>#VALUE!</v>
      </c>
      <c r="ED668" s="1422"/>
      <c r="EE668" s="1422"/>
      <c r="EF668" s="1422"/>
      <c r="EG668" s="1422"/>
      <c r="EH668" s="1422" t="e">
        <f t="shared" si="6"/>
        <v>#VALUE!</v>
      </c>
      <c r="EI668" s="1422"/>
      <c r="EJ668" s="1422"/>
      <c r="EK668" s="1422"/>
      <c r="EL668" s="1422"/>
      <c r="EM668" s="1422" t="e">
        <f t="shared" si="7"/>
        <v>#VALUE!</v>
      </c>
      <c r="EN668" s="1422"/>
      <c r="EO668" s="1422"/>
      <c r="EP668" s="1422"/>
      <c r="EQ668" s="1422"/>
      <c r="ER668" s="1422" t="e">
        <f t="shared" si="8"/>
        <v>#VALUE!</v>
      </c>
      <c r="ES668" s="1422"/>
      <c r="ET668" s="1422"/>
      <c r="EU668" s="1422"/>
      <c r="EV668" s="1422"/>
      <c r="EW668" s="1422" t="e">
        <f t="shared" si="9"/>
        <v>#VALUE!</v>
      </c>
      <c r="EX668" s="1422"/>
      <c r="EY668" s="1422"/>
      <c r="EZ668" s="1422"/>
      <c r="FA668" s="1422"/>
    </row>
    <row r="669" spans="1:157" ht="12.95" customHeight="1">
      <c r="A669" s="19"/>
      <c r="B669" t="s">
        <v>947</v>
      </c>
      <c r="G669" s="1335" t="s">
        <v>1448</v>
      </c>
      <c r="H669" s="1335"/>
      <c r="I669" s="1335"/>
      <c r="J669" s="1335"/>
      <c r="K669" s="1335"/>
      <c r="L669" s="1335"/>
      <c r="M669" s="1335"/>
      <c r="N669" s="1335"/>
      <c r="O669" s="1335"/>
      <c r="P669" s="1335"/>
      <c r="Q669" s="1335"/>
      <c r="R669" s="1335"/>
      <c r="T669" s="19"/>
      <c r="U669" t="s">
        <v>947</v>
      </c>
      <c r="Z669" s="1350" t="s">
        <v>1452</v>
      </c>
      <c r="AA669" s="1350"/>
      <c r="AB669" s="1350"/>
      <c r="AC669" s="1350"/>
      <c r="AD669" s="1350"/>
      <c r="AE669" s="1350"/>
      <c r="AF669" s="1350"/>
      <c r="AG669" s="1350"/>
      <c r="AH669" s="1350"/>
      <c r="AI669" s="1350"/>
      <c r="AJ669" s="1350"/>
      <c r="AK669" s="1350"/>
      <c r="AZ669" s="3"/>
      <c r="BA669" s="3"/>
      <c r="BB669" s="3"/>
      <c r="BC669" s="3"/>
      <c r="BD669" s="3"/>
      <c r="BE669" s="3"/>
      <c r="BF669" s="3"/>
      <c r="BG669" s="3"/>
      <c r="BH669" s="3"/>
      <c r="BI669" s="3"/>
      <c r="BJ669" s="3"/>
      <c r="BK669" s="3"/>
      <c r="BL669" s="3"/>
      <c r="BM669" s="3"/>
      <c r="DX669" s="1422" t="e">
        <f t="shared" si="4"/>
        <v>#VALUE!</v>
      </c>
      <c r="DY669" s="1422"/>
      <c r="DZ669" s="1422"/>
      <c r="EA669" s="1422"/>
      <c r="EB669" s="1422"/>
      <c r="EC669" s="1422" t="e">
        <f t="shared" si="5"/>
        <v>#VALUE!</v>
      </c>
      <c r="ED669" s="1422"/>
      <c r="EE669" s="1422"/>
      <c r="EF669" s="1422"/>
      <c r="EG669" s="1422"/>
      <c r="EH669" s="1422" t="e">
        <f t="shared" si="6"/>
        <v>#VALUE!</v>
      </c>
      <c r="EI669" s="1422"/>
      <c r="EJ669" s="1422"/>
      <c r="EK669" s="1422"/>
      <c r="EL669" s="1422"/>
      <c r="EM669" s="1422" t="e">
        <f t="shared" si="7"/>
        <v>#VALUE!</v>
      </c>
      <c r="EN669" s="1422"/>
      <c r="EO669" s="1422"/>
      <c r="EP669" s="1422"/>
      <c r="EQ669" s="1422"/>
      <c r="ER669" s="1422" t="e">
        <f t="shared" si="8"/>
        <v>#VALUE!</v>
      </c>
      <c r="ES669" s="1422"/>
      <c r="ET669" s="1422"/>
      <c r="EU669" s="1422"/>
      <c r="EV669" s="1422"/>
      <c r="EW669" s="1422" t="e">
        <f t="shared" si="9"/>
        <v>#VALUE!</v>
      </c>
      <c r="EX669" s="1422"/>
      <c r="EY669" s="1422"/>
      <c r="EZ669" s="1422"/>
      <c r="FA669" s="1422"/>
    </row>
    <row r="670" spans="1:157" ht="12.95" customHeight="1">
      <c r="A670" s="19"/>
      <c r="B670" t="s">
        <v>1440</v>
      </c>
      <c r="G670" s="1335" t="s">
        <v>1449</v>
      </c>
      <c r="H670" s="1335"/>
      <c r="I670" s="1335"/>
      <c r="J670" s="1335"/>
      <c r="K670" s="1335"/>
      <c r="L670" s="1335"/>
      <c r="M670" s="1335"/>
      <c r="N670" s="1335"/>
      <c r="O670" s="1335"/>
      <c r="P670" s="1335"/>
      <c r="Q670" s="1335"/>
      <c r="R670" s="1335"/>
      <c r="T670" s="19"/>
      <c r="U670" t="s">
        <v>1440</v>
      </c>
      <c r="Z670" s="1350" t="s">
        <v>806</v>
      </c>
      <c r="AA670" s="1350"/>
      <c r="AB670" s="1350"/>
      <c r="AC670" s="1350"/>
      <c r="AD670" s="1350"/>
      <c r="AE670" s="1350"/>
      <c r="AF670" s="1350"/>
      <c r="AG670" s="1350"/>
      <c r="AH670" s="1350"/>
      <c r="AI670" s="1350"/>
      <c r="AJ670" s="1350"/>
      <c r="AK670" s="135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2" t="e">
        <f t="shared" si="4"/>
        <v>#VALUE!</v>
      </c>
      <c r="DY670" s="1422"/>
      <c r="DZ670" s="1422"/>
      <c r="EA670" s="1422"/>
      <c r="EB670" s="1422"/>
      <c r="EC670" s="1422" t="e">
        <f t="shared" si="5"/>
        <v>#VALUE!</v>
      </c>
      <c r="ED670" s="1422"/>
      <c r="EE670" s="1422"/>
      <c r="EF670" s="1422"/>
      <c r="EG670" s="1422"/>
      <c r="EH670" s="1422" t="e">
        <f t="shared" si="6"/>
        <v>#VALUE!</v>
      </c>
      <c r="EI670" s="1422"/>
      <c r="EJ670" s="1422"/>
      <c r="EK670" s="1422"/>
      <c r="EL670" s="1422"/>
      <c r="EM670" s="1422" t="e">
        <f t="shared" si="7"/>
        <v>#VALUE!</v>
      </c>
      <c r="EN670" s="1422"/>
      <c r="EO670" s="1422"/>
      <c r="EP670" s="1422"/>
      <c r="EQ670" s="1422"/>
      <c r="ER670" s="1422" t="e">
        <f t="shared" si="8"/>
        <v>#VALUE!</v>
      </c>
      <c r="ES670" s="1422"/>
      <c r="ET670" s="1422"/>
      <c r="EU670" s="1422"/>
      <c r="EV670" s="1422"/>
      <c r="EW670" s="1422" t="e">
        <f t="shared" si="9"/>
        <v>#VALUE!</v>
      </c>
      <c r="EX670" s="1422"/>
      <c r="EY670" s="1422"/>
      <c r="EZ670" s="1422"/>
      <c r="FA670" s="1422"/>
    </row>
    <row r="671" spans="1:157" ht="12.95" customHeight="1">
      <c r="A671" s="19"/>
      <c r="B671" t="s">
        <v>840</v>
      </c>
      <c r="G671" s="1334" t="s">
        <v>1450</v>
      </c>
      <c r="H671" s="1334"/>
      <c r="I671" s="1334"/>
      <c r="J671" s="1334"/>
      <c r="K671" s="1334"/>
      <c r="L671" s="1334"/>
      <c r="O671" s="918" t="s">
        <v>1088</v>
      </c>
      <c r="P671" s="1274"/>
      <c r="Q671" s="1274"/>
      <c r="R671" s="1274"/>
      <c r="T671" s="19"/>
      <c r="U671" t="s">
        <v>840</v>
      </c>
      <c r="Z671" s="1334" t="s">
        <v>1142</v>
      </c>
      <c r="AA671" s="1334"/>
      <c r="AB671" s="1334"/>
      <c r="AC671" s="1334"/>
      <c r="AD671" s="1334"/>
      <c r="AE671" s="1334"/>
      <c r="AH671" s="918" t="s">
        <v>1088</v>
      </c>
      <c r="AI671" s="1274"/>
      <c r="AJ671" s="1274"/>
      <c r="AK671" s="127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2" t="e">
        <f t="shared" si="4"/>
        <v>#VALUE!</v>
      </c>
      <c r="DY671" s="1422"/>
      <c r="DZ671" s="1422"/>
      <c r="EA671" s="1422"/>
      <c r="EB671" s="1422"/>
      <c r="EC671" s="1422" t="e">
        <f t="shared" si="5"/>
        <v>#VALUE!</v>
      </c>
      <c r="ED671" s="1422"/>
      <c r="EE671" s="1422"/>
      <c r="EF671" s="1422"/>
      <c r="EG671" s="1422"/>
      <c r="EH671" s="1422" t="e">
        <f t="shared" si="6"/>
        <v>#VALUE!</v>
      </c>
      <c r="EI671" s="1422"/>
      <c r="EJ671" s="1422"/>
      <c r="EK671" s="1422"/>
      <c r="EL671" s="1422"/>
      <c r="EM671" s="1422" t="e">
        <f t="shared" si="7"/>
        <v>#VALUE!</v>
      </c>
      <c r="EN671" s="1422"/>
      <c r="EO671" s="1422"/>
      <c r="EP671" s="1422"/>
      <c r="EQ671" s="1422"/>
      <c r="ER671" s="1422" t="e">
        <f t="shared" si="8"/>
        <v>#VALUE!</v>
      </c>
      <c r="ES671" s="1422"/>
      <c r="ET671" s="1422"/>
      <c r="EU671" s="1422"/>
      <c r="EV671" s="1422"/>
      <c r="EW671" s="1422" t="e">
        <f t="shared" si="9"/>
        <v>#VALUE!</v>
      </c>
      <c r="EX671" s="1422"/>
      <c r="EY671" s="1422"/>
      <c r="EZ671" s="1422"/>
      <c r="FA671" s="1422"/>
    </row>
    <row r="672" spans="1:157" ht="12.95" customHeight="1">
      <c r="A672" s="19"/>
      <c r="B672" t="s">
        <v>1443</v>
      </c>
      <c r="H672" s="1335"/>
      <c r="I672" s="1335"/>
      <c r="J672" s="1335"/>
      <c r="K672" s="1335"/>
      <c r="L672" s="1335"/>
      <c r="M672" s="1335"/>
      <c r="N672" s="1335"/>
      <c r="O672" s="1335"/>
      <c r="P672" s="1335"/>
      <c r="Q672" s="1335"/>
      <c r="R672" s="1335"/>
      <c r="T672" s="19"/>
      <c r="U672" t="s">
        <v>1443</v>
      </c>
      <c r="AA672" s="1335"/>
      <c r="AB672" s="1335"/>
      <c r="AC672" s="1335"/>
      <c r="AD672" s="1335"/>
      <c r="AE672" s="1335"/>
      <c r="AF672" s="1335"/>
      <c r="AG672" s="1335"/>
      <c r="AH672" s="1335"/>
      <c r="AI672" s="1335"/>
      <c r="AJ672" s="1335"/>
      <c r="AK672" s="133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2" t="e">
        <f t="shared" si="4"/>
        <v>#VALUE!</v>
      </c>
      <c r="DY672" s="1422"/>
      <c r="DZ672" s="1422"/>
      <c r="EA672" s="1422"/>
      <c r="EB672" s="1422"/>
      <c r="EC672" s="1422" t="e">
        <f t="shared" si="5"/>
        <v>#VALUE!</v>
      </c>
      <c r="ED672" s="1422"/>
      <c r="EE672" s="1422"/>
      <c r="EF672" s="1422"/>
      <c r="EG672" s="1422"/>
      <c r="EH672" s="1422" t="e">
        <f t="shared" si="6"/>
        <v>#VALUE!</v>
      </c>
      <c r="EI672" s="1422"/>
      <c r="EJ672" s="1422"/>
      <c r="EK672" s="1422"/>
      <c r="EL672" s="1422"/>
      <c r="EM672" s="1422" t="e">
        <f t="shared" si="7"/>
        <v>#VALUE!</v>
      </c>
      <c r="EN672" s="1422"/>
      <c r="EO672" s="1422"/>
      <c r="EP672" s="1422"/>
      <c r="EQ672" s="1422"/>
      <c r="ER672" s="1422" t="e">
        <f t="shared" si="8"/>
        <v>#VALUE!</v>
      </c>
      <c r="ES672" s="1422"/>
      <c r="ET672" s="1422"/>
      <c r="EU672" s="1422"/>
      <c r="EV672" s="1422"/>
      <c r="EW672" s="1422" t="e">
        <f t="shared" si="9"/>
        <v>#VALUE!</v>
      </c>
      <c r="EX672" s="1422"/>
      <c r="EY672" s="1422"/>
      <c r="EZ672" s="1422"/>
      <c r="FA672" s="1422"/>
    </row>
    <row r="673" spans="1:157" ht="12.95" customHeight="1">
      <c r="A673" s="19"/>
      <c r="B673" t="s">
        <v>1446</v>
      </c>
      <c r="N673" s="1229" t="s">
        <v>862</v>
      </c>
      <c r="O673" s="1229"/>
      <c r="T673" s="19"/>
      <c r="U673" t="s">
        <v>1446</v>
      </c>
      <c r="AG673" s="1229" t="s">
        <v>862</v>
      </c>
      <c r="AH673" s="122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2" t="e">
        <f t="shared" si="4"/>
        <v>#VALUE!</v>
      </c>
      <c r="DY673" s="1422"/>
      <c r="DZ673" s="1422"/>
      <c r="EA673" s="1422"/>
      <c r="EB673" s="1422"/>
      <c r="EC673" s="1422" t="e">
        <f t="shared" si="5"/>
        <v>#VALUE!</v>
      </c>
      <c r="ED673" s="1422"/>
      <c r="EE673" s="1422"/>
      <c r="EF673" s="1422"/>
      <c r="EG673" s="1422"/>
      <c r="EH673" s="1422" t="e">
        <f t="shared" si="6"/>
        <v>#VALUE!</v>
      </c>
      <c r="EI673" s="1422"/>
      <c r="EJ673" s="1422"/>
      <c r="EK673" s="1422"/>
      <c r="EL673" s="1422"/>
      <c r="EM673" s="1422" t="e">
        <f t="shared" si="7"/>
        <v>#VALUE!</v>
      </c>
      <c r="EN673" s="1422"/>
      <c r="EO673" s="1422"/>
      <c r="EP673" s="1422"/>
      <c r="EQ673" s="1422"/>
      <c r="ER673" s="1422" t="e">
        <f t="shared" si="8"/>
        <v>#VALUE!</v>
      </c>
      <c r="ES673" s="1422"/>
      <c r="ET673" s="1422"/>
      <c r="EU673" s="1422"/>
      <c r="EV673" s="1422"/>
      <c r="EW673" s="1422" t="e">
        <f t="shared" si="9"/>
        <v>#VALUE!</v>
      </c>
      <c r="EX673" s="1422"/>
      <c r="EY673" s="1422"/>
      <c r="EZ673" s="1422"/>
      <c r="FA673" s="1422"/>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2" t="e">
        <f t="shared" si="4"/>
        <v>#VALUE!</v>
      </c>
      <c r="DY674" s="1422"/>
      <c r="DZ674" s="1422"/>
      <c r="EA674" s="1422"/>
      <c r="EB674" s="1422"/>
      <c r="EC674" s="1422" t="e">
        <f t="shared" si="5"/>
        <v>#VALUE!</v>
      </c>
      <c r="ED674" s="1422"/>
      <c r="EE674" s="1422"/>
      <c r="EF674" s="1422"/>
      <c r="EG674" s="1422"/>
      <c r="EH674" s="1422" t="e">
        <f t="shared" si="6"/>
        <v>#VALUE!</v>
      </c>
      <c r="EI674" s="1422"/>
      <c r="EJ674" s="1422"/>
      <c r="EK674" s="1422"/>
      <c r="EL674" s="1422"/>
      <c r="EM674" s="1422" t="e">
        <f t="shared" si="7"/>
        <v>#VALUE!</v>
      </c>
      <c r="EN674" s="1422"/>
      <c r="EO674" s="1422"/>
      <c r="EP674" s="1422"/>
      <c r="EQ674" s="1422"/>
      <c r="ER674" s="1422" t="e">
        <f t="shared" si="8"/>
        <v>#VALUE!</v>
      </c>
      <c r="ES674" s="1422"/>
      <c r="ET674" s="1422"/>
      <c r="EU674" s="1422"/>
      <c r="EV674" s="1422"/>
      <c r="EW674" s="1422" t="e">
        <f t="shared" si="9"/>
        <v>#VALUE!</v>
      </c>
      <c r="EX674" s="1422"/>
      <c r="EY674" s="1422"/>
      <c r="EZ674" s="1422"/>
      <c r="FA674" s="1422"/>
    </row>
    <row r="675" spans="1:157" ht="12.95" customHeight="1">
      <c r="A675" s="47" t="s">
        <v>1428</v>
      </c>
      <c r="B675" t="s">
        <v>1437</v>
      </c>
      <c r="G675" s="1349">
        <f>C641</f>
        <v>0</v>
      </c>
      <c r="H675" s="1349"/>
      <c r="I675" s="1349"/>
      <c r="J675" s="1349"/>
      <c r="K675" s="1349"/>
      <c r="L675" s="1349"/>
      <c r="M675" s="1349"/>
      <c r="N675" s="1349"/>
      <c r="O675" s="1349"/>
      <c r="P675" s="1349"/>
      <c r="Q675" s="1349"/>
      <c r="R675" s="1349"/>
      <c r="T675" s="47" t="s">
        <v>1430</v>
      </c>
      <c r="U675" t="s">
        <v>1437</v>
      </c>
      <c r="Z675" s="1349">
        <f>C642</f>
        <v>0</v>
      </c>
      <c r="AA675" s="1349"/>
      <c r="AB675" s="1349"/>
      <c r="AC675" s="1349"/>
      <c r="AD675" s="1349"/>
      <c r="AE675" s="1349"/>
      <c r="AF675" s="1349"/>
      <c r="AG675" s="1349"/>
      <c r="AH675" s="1349"/>
      <c r="AI675" s="1349"/>
      <c r="AJ675" s="1349"/>
      <c r="AK675" s="134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2" t="e">
        <f t="shared" si="4"/>
        <v>#VALUE!</v>
      </c>
      <c r="DY675" s="1422"/>
      <c r="DZ675" s="1422"/>
      <c r="EA675" s="1422"/>
      <c r="EB675" s="1422"/>
      <c r="EC675" s="1422" t="e">
        <f t="shared" si="5"/>
        <v>#VALUE!</v>
      </c>
      <c r="ED675" s="1422"/>
      <c r="EE675" s="1422"/>
      <c r="EF675" s="1422"/>
      <c r="EG675" s="1422"/>
      <c r="EH675" s="1422" t="e">
        <f t="shared" si="6"/>
        <v>#VALUE!</v>
      </c>
      <c r="EI675" s="1422"/>
      <c r="EJ675" s="1422"/>
      <c r="EK675" s="1422"/>
      <c r="EL675" s="1422"/>
      <c r="EM675" s="1422" t="e">
        <f t="shared" si="7"/>
        <v>#VALUE!</v>
      </c>
      <c r="EN675" s="1422"/>
      <c r="EO675" s="1422"/>
      <c r="EP675" s="1422"/>
      <c r="EQ675" s="1422"/>
      <c r="ER675" s="1422" t="e">
        <f t="shared" si="8"/>
        <v>#VALUE!</v>
      </c>
      <c r="ES675" s="1422"/>
      <c r="ET675" s="1422"/>
      <c r="EU675" s="1422"/>
      <c r="EV675" s="1422"/>
      <c r="EW675" s="1422" t="e">
        <f t="shared" si="9"/>
        <v>#VALUE!</v>
      </c>
      <c r="EX675" s="1422"/>
      <c r="EY675" s="1422"/>
      <c r="EZ675" s="1422"/>
      <c r="FA675" s="1422"/>
    </row>
    <row r="676" spans="1:157" ht="12.95" customHeight="1">
      <c r="A676" s="19"/>
      <c r="B676" t="s">
        <v>1083</v>
      </c>
      <c r="G676" s="1335"/>
      <c r="H676" s="1335"/>
      <c r="I676" s="1335"/>
      <c r="J676" s="1335"/>
      <c r="K676" s="1335"/>
      <c r="L676" s="1335"/>
      <c r="M676" s="1335"/>
      <c r="N676" s="1335"/>
      <c r="O676" s="1335"/>
      <c r="P676" s="1335"/>
      <c r="Q676" s="1335"/>
      <c r="R676" s="1335"/>
      <c r="T676" s="19"/>
      <c r="U676" t="s">
        <v>1083</v>
      </c>
      <c r="Z676" s="1335"/>
      <c r="AA676" s="1335"/>
      <c r="AB676" s="1335"/>
      <c r="AC676" s="1335"/>
      <c r="AD676" s="1335"/>
      <c r="AE676" s="1335"/>
      <c r="AF676" s="1335"/>
      <c r="AG676" s="1335"/>
      <c r="AH676" s="1335"/>
      <c r="AI676" s="1335"/>
      <c r="AJ676" s="1335"/>
      <c r="AK676" s="133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2" t="e">
        <f t="shared" si="4"/>
        <v>#VALUE!</v>
      </c>
      <c r="DY676" s="1422"/>
      <c r="DZ676" s="1422"/>
      <c r="EA676" s="1422"/>
      <c r="EB676" s="1422"/>
      <c r="EC676" s="1422" t="e">
        <f t="shared" si="5"/>
        <v>#VALUE!</v>
      </c>
      <c r="ED676" s="1422"/>
      <c r="EE676" s="1422"/>
      <c r="EF676" s="1422"/>
      <c r="EG676" s="1422"/>
      <c r="EH676" s="1422" t="e">
        <f t="shared" si="6"/>
        <v>#VALUE!</v>
      </c>
      <c r="EI676" s="1422"/>
      <c r="EJ676" s="1422"/>
      <c r="EK676" s="1422"/>
      <c r="EL676" s="1422"/>
      <c r="EM676" s="1422" t="e">
        <f t="shared" si="7"/>
        <v>#VALUE!</v>
      </c>
      <c r="EN676" s="1422"/>
      <c r="EO676" s="1422"/>
      <c r="EP676" s="1422"/>
      <c r="EQ676" s="1422"/>
      <c r="ER676" s="1422" t="e">
        <f t="shared" si="8"/>
        <v>#VALUE!</v>
      </c>
      <c r="ES676" s="1422"/>
      <c r="ET676" s="1422"/>
      <c r="EU676" s="1422"/>
      <c r="EV676" s="1422"/>
      <c r="EW676" s="1422" t="e">
        <f t="shared" si="9"/>
        <v>#VALUE!</v>
      </c>
      <c r="EX676" s="1422"/>
      <c r="EY676" s="1422"/>
      <c r="EZ676" s="1422"/>
      <c r="FA676" s="1422"/>
    </row>
    <row r="677" spans="1:157" ht="12.95" customHeight="1">
      <c r="A677" s="19"/>
      <c r="B677" t="s">
        <v>947</v>
      </c>
      <c r="G677" s="1335"/>
      <c r="H677" s="1335"/>
      <c r="I677" s="1335"/>
      <c r="J677" s="1335"/>
      <c r="K677" s="1335"/>
      <c r="L677" s="1335"/>
      <c r="M677" s="1335"/>
      <c r="N677" s="1335"/>
      <c r="O677" s="1335"/>
      <c r="P677" s="1335"/>
      <c r="Q677" s="1335"/>
      <c r="R677" s="1335"/>
      <c r="T677" s="19"/>
      <c r="U677" t="s">
        <v>947</v>
      </c>
      <c r="Z677" s="1350"/>
      <c r="AA677" s="1350"/>
      <c r="AB677" s="1350"/>
      <c r="AC677" s="1350"/>
      <c r="AD677" s="1350"/>
      <c r="AE677" s="1350"/>
      <c r="AF677" s="1350"/>
      <c r="AG677" s="1350"/>
      <c r="AH677" s="1350"/>
      <c r="AI677" s="1350"/>
      <c r="AJ677" s="1350"/>
      <c r="AK677" s="135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2" t="e">
        <f t="shared" si="4"/>
        <v>#VALUE!</v>
      </c>
      <c r="DY677" s="1422"/>
      <c r="DZ677" s="1422"/>
      <c r="EA677" s="1422"/>
      <c r="EB677" s="1422"/>
      <c r="EC677" s="1422" t="e">
        <f t="shared" si="5"/>
        <v>#VALUE!</v>
      </c>
      <c r="ED677" s="1422"/>
      <c r="EE677" s="1422"/>
      <c r="EF677" s="1422"/>
      <c r="EG677" s="1422"/>
      <c r="EH677" s="1422" t="e">
        <f t="shared" si="6"/>
        <v>#VALUE!</v>
      </c>
      <c r="EI677" s="1422"/>
      <c r="EJ677" s="1422"/>
      <c r="EK677" s="1422"/>
      <c r="EL677" s="1422"/>
      <c r="EM677" s="1422" t="e">
        <f t="shared" si="7"/>
        <v>#VALUE!</v>
      </c>
      <c r="EN677" s="1422"/>
      <c r="EO677" s="1422"/>
      <c r="EP677" s="1422"/>
      <c r="EQ677" s="1422"/>
      <c r="ER677" s="1422" t="e">
        <f t="shared" si="8"/>
        <v>#VALUE!</v>
      </c>
      <c r="ES677" s="1422"/>
      <c r="ET677" s="1422"/>
      <c r="EU677" s="1422"/>
      <c r="EV677" s="1422"/>
      <c r="EW677" s="1422" t="e">
        <f t="shared" si="9"/>
        <v>#VALUE!</v>
      </c>
      <c r="EX677" s="1422"/>
      <c r="EY677" s="1422"/>
      <c r="EZ677" s="1422"/>
      <c r="FA677" s="1422"/>
    </row>
    <row r="678" spans="1:157" ht="12.95" customHeight="1">
      <c r="A678" s="19"/>
      <c r="B678" t="s">
        <v>1440</v>
      </c>
      <c r="G678" s="1335"/>
      <c r="H678" s="1335"/>
      <c r="I678" s="1335"/>
      <c r="J678" s="1335"/>
      <c r="K678" s="1335"/>
      <c r="L678" s="1335"/>
      <c r="M678" s="1335"/>
      <c r="N678" s="1335"/>
      <c r="O678" s="1335"/>
      <c r="P678" s="1335"/>
      <c r="Q678" s="1335"/>
      <c r="R678" s="1335"/>
      <c r="T678" s="19"/>
      <c r="U678" t="s">
        <v>1440</v>
      </c>
      <c r="Z678" s="1350"/>
      <c r="AA678" s="1350"/>
      <c r="AB678" s="1350"/>
      <c r="AC678" s="1350"/>
      <c r="AD678" s="1350"/>
      <c r="AE678" s="1350"/>
      <c r="AF678" s="1350"/>
      <c r="AG678" s="1350"/>
      <c r="AH678" s="1350"/>
      <c r="AI678" s="1350"/>
      <c r="AJ678" s="1350"/>
      <c r="AK678" s="135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2">
        <f>SUMIF(DX643:EB677,"&gt;0")</f>
        <v>0</v>
      </c>
      <c r="DY678" s="1422"/>
      <c r="DZ678" s="1422"/>
      <c r="EA678" s="1422"/>
      <c r="EB678" s="1422"/>
      <c r="EC678" s="1422">
        <f>SUMIF(EC643:EG677,"&gt;0")</f>
        <v>1014.3809523809523</v>
      </c>
      <c r="ED678" s="1422"/>
      <c r="EE678" s="1422"/>
      <c r="EF678" s="1422"/>
      <c r="EG678" s="1422"/>
      <c r="EH678" s="1422">
        <f>SUMIF(EH643:EL677,"&gt;0")</f>
        <v>1511.6129032258063</v>
      </c>
      <c r="EI678" s="1422"/>
      <c r="EJ678" s="1422"/>
      <c r="EK678" s="1422"/>
      <c r="EL678" s="1422"/>
      <c r="EM678" s="1422">
        <f>SUMIF(EM643:EQ677,"&gt;0")</f>
        <v>1719</v>
      </c>
      <c r="EN678" s="1422"/>
      <c r="EO678" s="1422"/>
      <c r="EP678" s="1422"/>
      <c r="EQ678" s="1422"/>
      <c r="ER678" s="1422">
        <f>SUMIF(ER643:EV677,"&gt;0")</f>
        <v>0</v>
      </c>
      <c r="ES678" s="1422"/>
      <c r="ET678" s="1422"/>
      <c r="EU678" s="1422"/>
      <c r="EV678" s="1422"/>
      <c r="EW678" s="1422">
        <f>SUMIF(EW643:FA677,"&gt;0")</f>
        <v>0</v>
      </c>
      <c r="EX678" s="1422"/>
      <c r="EY678" s="1422"/>
      <c r="EZ678" s="1422"/>
      <c r="FA678" s="1422"/>
    </row>
    <row r="679" spans="1:157" ht="12.95" customHeight="1">
      <c r="A679" s="19"/>
      <c r="B679" t="s">
        <v>840</v>
      </c>
      <c r="G679" s="1334"/>
      <c r="H679" s="1334"/>
      <c r="I679" s="1334"/>
      <c r="J679" s="1334"/>
      <c r="K679" s="1334"/>
      <c r="L679" s="1334"/>
      <c r="O679" s="918" t="s">
        <v>1088</v>
      </c>
      <c r="P679" s="1274"/>
      <c r="Q679" s="1274"/>
      <c r="R679" s="1274"/>
      <c r="T679" s="19"/>
      <c r="U679" t="s">
        <v>840</v>
      </c>
      <c r="Z679" s="1334"/>
      <c r="AA679" s="1334"/>
      <c r="AB679" s="1334"/>
      <c r="AC679" s="1334"/>
      <c r="AD679" s="1334"/>
      <c r="AE679" s="1334"/>
      <c r="AH679" s="918" t="s">
        <v>1088</v>
      </c>
      <c r="AI679" s="1274"/>
      <c r="AJ679" s="1274"/>
      <c r="AK679" s="127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1443</v>
      </c>
      <c r="H680" s="1335"/>
      <c r="I680" s="1335"/>
      <c r="J680" s="1335"/>
      <c r="K680" s="1335"/>
      <c r="L680" s="1335"/>
      <c r="M680" s="1335"/>
      <c r="N680" s="1335"/>
      <c r="O680" s="1335"/>
      <c r="P680" s="1335"/>
      <c r="Q680" s="1335"/>
      <c r="R680" s="1335"/>
      <c r="T680" s="19"/>
      <c r="U680" t="s">
        <v>1443</v>
      </c>
      <c r="AA680" s="1335"/>
      <c r="AB680" s="1335"/>
      <c r="AC680" s="1335"/>
      <c r="AD680" s="1335"/>
      <c r="AE680" s="1335"/>
      <c r="AF680" s="1335"/>
      <c r="AG680" s="1335"/>
      <c r="AH680" s="1335"/>
      <c r="AI680" s="1335"/>
      <c r="AJ680" s="1335"/>
      <c r="AK680" s="133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1446</v>
      </c>
      <c r="N681" s="1229"/>
      <c r="O681" s="1229"/>
      <c r="T681" s="19"/>
      <c r="U681" t="s">
        <v>1446</v>
      </c>
      <c r="AG681" s="1229" t="s">
        <v>701</v>
      </c>
      <c r="AH681" s="1229"/>
      <c r="AZ681" s="3"/>
    </row>
    <row r="682" spans="1:157" ht="12.95" customHeight="1">
      <c r="A682" s="19"/>
      <c r="T682" s="19"/>
      <c r="AZ682" s="3"/>
    </row>
    <row r="683" spans="1:157" ht="12.95" customHeight="1">
      <c r="A683" s="47" t="s">
        <v>1432</v>
      </c>
      <c r="B683" t="s">
        <v>1437</v>
      </c>
      <c r="G683" s="1349">
        <f>C643</f>
        <v>0</v>
      </c>
      <c r="H683" s="1349"/>
      <c r="I683" s="1349"/>
      <c r="J683" s="1349"/>
      <c r="K683" s="1349"/>
      <c r="L683" s="1349"/>
      <c r="M683" s="1349"/>
      <c r="N683" s="1349"/>
      <c r="O683" s="1349"/>
      <c r="P683" s="1349"/>
      <c r="Q683" s="1349"/>
      <c r="R683" s="1349"/>
      <c r="T683" s="47" t="s">
        <v>1433</v>
      </c>
      <c r="U683" t="s">
        <v>1437</v>
      </c>
      <c r="Z683" s="1349">
        <f>C644</f>
        <v>0</v>
      </c>
      <c r="AA683" s="1349"/>
      <c r="AB683" s="1349"/>
      <c r="AC683" s="1349"/>
      <c r="AD683" s="1349"/>
      <c r="AE683" s="1349"/>
      <c r="AF683" s="1349"/>
      <c r="AG683" s="1349"/>
      <c r="AH683" s="1349"/>
      <c r="AI683" s="1349"/>
      <c r="AJ683" s="1349"/>
      <c r="AK683" s="1349"/>
      <c r="AZ683" s="3"/>
    </row>
    <row r="684" spans="1:157" ht="12.95" customHeight="1">
      <c r="A684" s="19"/>
      <c r="B684" t="s">
        <v>1083</v>
      </c>
      <c r="G684" s="1335"/>
      <c r="H684" s="1335"/>
      <c r="I684" s="1335"/>
      <c r="J684" s="1335"/>
      <c r="K684" s="1335"/>
      <c r="L684" s="1335"/>
      <c r="M684" s="1335"/>
      <c r="N684" s="1335"/>
      <c r="O684" s="1335"/>
      <c r="P684" s="1335"/>
      <c r="Q684" s="1335"/>
      <c r="R684" s="1335"/>
      <c r="T684" s="19"/>
      <c r="U684" t="s">
        <v>1083</v>
      </c>
      <c r="Z684" s="1335"/>
      <c r="AA684" s="1335"/>
      <c r="AB684" s="1335"/>
      <c r="AC684" s="1335"/>
      <c r="AD684" s="1335"/>
      <c r="AE684" s="1335"/>
      <c r="AF684" s="1335"/>
      <c r="AG684" s="1335"/>
      <c r="AH684" s="1335"/>
      <c r="AI684" s="1335"/>
      <c r="AJ684" s="1335"/>
      <c r="AK684" s="1335"/>
      <c r="AZ684" s="3"/>
    </row>
    <row r="685" spans="1:157" ht="12.95" customHeight="1">
      <c r="A685" s="19"/>
      <c r="B685" t="s">
        <v>947</v>
      </c>
      <c r="G685" s="1335"/>
      <c r="H685" s="1335"/>
      <c r="I685" s="1335"/>
      <c r="J685" s="1335"/>
      <c r="K685" s="1335"/>
      <c r="L685" s="1335"/>
      <c r="M685" s="1335"/>
      <c r="N685" s="1335"/>
      <c r="O685" s="1335"/>
      <c r="P685" s="1335"/>
      <c r="Q685" s="1335"/>
      <c r="R685" s="1335"/>
      <c r="T685" s="19"/>
      <c r="U685" t="s">
        <v>947</v>
      </c>
      <c r="Z685" s="1350"/>
      <c r="AA685" s="1350"/>
      <c r="AB685" s="1350"/>
      <c r="AC685" s="1350"/>
      <c r="AD685" s="1350"/>
      <c r="AE685" s="1350"/>
      <c r="AF685" s="1350"/>
      <c r="AG685" s="1350"/>
      <c r="AH685" s="1350"/>
      <c r="AI685" s="1350"/>
      <c r="AJ685" s="1350"/>
      <c r="AK685" s="1350"/>
      <c r="AZ685" s="3"/>
    </row>
    <row r="686" spans="1:157" ht="12.95" customHeight="1">
      <c r="A686" s="19"/>
      <c r="B686" t="s">
        <v>1440</v>
      </c>
      <c r="G686" s="1335"/>
      <c r="H686" s="1335"/>
      <c r="I686" s="1335"/>
      <c r="J686" s="1335"/>
      <c r="K686" s="1335"/>
      <c r="L686" s="1335"/>
      <c r="M686" s="1335"/>
      <c r="N686" s="1335"/>
      <c r="O686" s="1335"/>
      <c r="P686" s="1335"/>
      <c r="Q686" s="1335"/>
      <c r="R686" s="1335"/>
      <c r="T686" s="19"/>
      <c r="U686" t="s">
        <v>1440</v>
      </c>
      <c r="Z686" s="1350"/>
      <c r="AA686" s="1350"/>
      <c r="AB686" s="1350"/>
      <c r="AC686" s="1350"/>
      <c r="AD686" s="1350"/>
      <c r="AE686" s="1350"/>
      <c r="AF686" s="1350"/>
      <c r="AG686" s="1350"/>
      <c r="AH686" s="1350"/>
      <c r="AI686" s="1350"/>
      <c r="AJ686" s="1350"/>
      <c r="AK686" s="1350"/>
      <c r="AZ686" s="3"/>
    </row>
    <row r="687" spans="1:157" ht="12.95" customHeight="1">
      <c r="A687" s="19"/>
      <c r="B687" t="s">
        <v>840</v>
      </c>
      <c r="G687" s="1334"/>
      <c r="H687" s="1334"/>
      <c r="I687" s="1334"/>
      <c r="J687" s="1334"/>
      <c r="K687" s="1334"/>
      <c r="L687" s="1334"/>
      <c r="O687" s="918" t="s">
        <v>1088</v>
      </c>
      <c r="P687" s="1274"/>
      <c r="Q687" s="1274"/>
      <c r="R687" s="1274"/>
      <c r="T687" s="19"/>
      <c r="U687" t="s">
        <v>840</v>
      </c>
      <c r="Z687" s="1334"/>
      <c r="AA687" s="1334"/>
      <c r="AB687" s="1334"/>
      <c r="AC687" s="1334"/>
      <c r="AD687" s="1334"/>
      <c r="AE687" s="1334"/>
      <c r="AH687" s="918" t="s">
        <v>1088</v>
      </c>
      <c r="AI687" s="1274"/>
      <c r="AJ687" s="1274"/>
      <c r="AK687" s="1274"/>
      <c r="AZ687" s="3"/>
    </row>
    <row r="688" spans="1:157" ht="12.95" customHeight="1">
      <c r="A688" s="19"/>
      <c r="B688" t="s">
        <v>1443</v>
      </c>
      <c r="H688" s="1335"/>
      <c r="I688" s="1335"/>
      <c r="J688" s="1335"/>
      <c r="K688" s="1335"/>
      <c r="L688" s="1335"/>
      <c r="M688" s="1335"/>
      <c r="N688" s="1335"/>
      <c r="O688" s="1335"/>
      <c r="P688" s="1335"/>
      <c r="Q688" s="1335"/>
      <c r="R688" s="1335"/>
      <c r="T688" s="19"/>
      <c r="U688" t="s">
        <v>1443</v>
      </c>
      <c r="AA688" s="1335"/>
      <c r="AB688" s="1335"/>
      <c r="AC688" s="1335"/>
      <c r="AD688" s="1335"/>
      <c r="AE688" s="1335"/>
      <c r="AF688" s="1335"/>
      <c r="AG688" s="1335"/>
      <c r="AH688" s="1335"/>
      <c r="AI688" s="1335"/>
      <c r="AJ688" s="1335"/>
      <c r="AK688" s="1335"/>
      <c r="AZ688" s="3"/>
    </row>
    <row r="689" spans="1:52" ht="12.95" customHeight="1">
      <c r="A689" s="19"/>
      <c r="B689" t="s">
        <v>1446</v>
      </c>
      <c r="N689" s="1229" t="s">
        <v>701</v>
      </c>
      <c r="O689" s="1229"/>
      <c r="T689" s="19"/>
      <c r="U689" t="s">
        <v>1446</v>
      </c>
      <c r="AG689" s="1229" t="s">
        <v>701</v>
      </c>
      <c r="AH689" s="1229"/>
      <c r="AZ689" s="3"/>
    </row>
    <row r="690" spans="1:52" ht="12.95" customHeight="1">
      <c r="A690" s="19"/>
      <c r="T690" s="19"/>
      <c r="AZ690" s="3"/>
    </row>
    <row r="691" spans="1:52" ht="12.95" customHeight="1">
      <c r="A691" s="47" t="s">
        <v>1434</v>
      </c>
      <c r="B691" t="s">
        <v>1437</v>
      </c>
      <c r="G691" s="1349">
        <f>C645</f>
        <v>0</v>
      </c>
      <c r="H691" s="1349"/>
      <c r="I691" s="1349"/>
      <c r="J691" s="1349"/>
      <c r="K691" s="1349"/>
      <c r="L691" s="1349"/>
      <c r="M691" s="1349"/>
      <c r="N691" s="1349"/>
      <c r="O691" s="1349"/>
      <c r="P691" s="1349"/>
      <c r="Q691" s="1349"/>
      <c r="R691" s="1349"/>
      <c r="T691" s="47" t="s">
        <v>1435</v>
      </c>
      <c r="U691" t="s">
        <v>1437</v>
      </c>
      <c r="Z691" s="1349">
        <f>C646</f>
        <v>0</v>
      </c>
      <c r="AA691" s="1349"/>
      <c r="AB691" s="1349"/>
      <c r="AC691" s="1349"/>
      <c r="AD691" s="1349"/>
      <c r="AE691" s="1349"/>
      <c r="AF691" s="1349"/>
      <c r="AG691" s="1349"/>
      <c r="AH691" s="1349"/>
      <c r="AI691" s="1349"/>
      <c r="AJ691" s="1349"/>
      <c r="AK691" s="1349"/>
      <c r="AZ691" s="3"/>
    </row>
    <row r="692" spans="1:52" ht="12.95" customHeight="1">
      <c r="B692" t="s">
        <v>1083</v>
      </c>
      <c r="G692" s="1335"/>
      <c r="H692" s="1335"/>
      <c r="I692" s="1335"/>
      <c r="J692" s="1335"/>
      <c r="K692" s="1335"/>
      <c r="L692" s="1335"/>
      <c r="M692" s="1335"/>
      <c r="N692" s="1335"/>
      <c r="O692" s="1335"/>
      <c r="P692" s="1335"/>
      <c r="Q692" s="1335"/>
      <c r="R692" s="1335"/>
      <c r="T692" s="19"/>
      <c r="U692" t="s">
        <v>1083</v>
      </c>
      <c r="Z692" s="1335"/>
      <c r="AA692" s="1335"/>
      <c r="AB692" s="1335"/>
      <c r="AC692" s="1335"/>
      <c r="AD692" s="1335"/>
      <c r="AE692" s="1335"/>
      <c r="AF692" s="1335"/>
      <c r="AG692" s="1335"/>
      <c r="AH692" s="1335"/>
      <c r="AI692" s="1335"/>
      <c r="AJ692" s="1335"/>
      <c r="AK692" s="1335"/>
      <c r="AZ692" s="3"/>
    </row>
    <row r="693" spans="1:52" ht="12.95" customHeight="1">
      <c r="B693" t="s">
        <v>947</v>
      </c>
      <c r="G693" s="1335"/>
      <c r="H693" s="1335"/>
      <c r="I693" s="1335"/>
      <c r="J693" s="1335"/>
      <c r="K693" s="1335"/>
      <c r="L693" s="1335"/>
      <c r="M693" s="1335"/>
      <c r="N693" s="1335"/>
      <c r="O693" s="1335"/>
      <c r="P693" s="1335"/>
      <c r="Q693" s="1335"/>
      <c r="R693" s="1335"/>
      <c r="U693" t="s">
        <v>947</v>
      </c>
      <c r="Z693" s="1350"/>
      <c r="AA693" s="1350"/>
      <c r="AB693" s="1350"/>
      <c r="AC693" s="1350"/>
      <c r="AD693" s="1350"/>
      <c r="AE693" s="1350"/>
      <c r="AF693" s="1350"/>
      <c r="AG693" s="1350"/>
      <c r="AH693" s="1350"/>
      <c r="AI693" s="1350"/>
      <c r="AJ693" s="1350"/>
      <c r="AK693" s="1350"/>
      <c r="AZ693" s="3"/>
    </row>
    <row r="694" spans="1:52" ht="12.95" customHeight="1">
      <c r="B694" t="s">
        <v>1440</v>
      </c>
      <c r="G694" s="1335"/>
      <c r="H694" s="1335"/>
      <c r="I694" s="1335"/>
      <c r="J694" s="1335"/>
      <c r="K694" s="1335"/>
      <c r="L694" s="1335"/>
      <c r="M694" s="1335"/>
      <c r="N694" s="1335"/>
      <c r="O694" s="1335"/>
      <c r="P694" s="1335"/>
      <c r="Q694" s="1335"/>
      <c r="R694" s="1335"/>
      <c r="U694" t="s">
        <v>1440</v>
      </c>
      <c r="Z694" s="1350"/>
      <c r="AA694" s="1350"/>
      <c r="AB694" s="1350"/>
      <c r="AC694" s="1350"/>
      <c r="AD694" s="1350"/>
      <c r="AE694" s="1350"/>
      <c r="AF694" s="1350"/>
      <c r="AG694" s="1350"/>
      <c r="AH694" s="1350"/>
      <c r="AI694" s="1350"/>
      <c r="AJ694" s="1350"/>
      <c r="AK694" s="1350"/>
      <c r="AZ694" s="3"/>
    </row>
    <row r="695" spans="1:52" ht="12.95" customHeight="1">
      <c r="B695" t="s">
        <v>840</v>
      </c>
      <c r="G695" s="1334"/>
      <c r="H695" s="1334"/>
      <c r="I695" s="1334"/>
      <c r="J695" s="1334"/>
      <c r="K695" s="1334"/>
      <c r="L695" s="1334"/>
      <c r="O695" s="918" t="s">
        <v>1088</v>
      </c>
      <c r="P695" s="1274"/>
      <c r="Q695" s="1274"/>
      <c r="R695" s="1274"/>
      <c r="U695" t="s">
        <v>840</v>
      </c>
      <c r="Z695" s="1334"/>
      <c r="AA695" s="1334"/>
      <c r="AB695" s="1334"/>
      <c r="AC695" s="1334"/>
      <c r="AD695" s="1334"/>
      <c r="AE695" s="1334"/>
      <c r="AH695" s="918" t="s">
        <v>1088</v>
      </c>
      <c r="AI695" s="1274"/>
      <c r="AJ695" s="1274"/>
      <c r="AK695" s="1274"/>
      <c r="AZ695" s="3"/>
    </row>
    <row r="696" spans="1:52" ht="12.95" customHeight="1">
      <c r="B696" t="s">
        <v>1443</v>
      </c>
      <c r="H696" s="1335"/>
      <c r="I696" s="1335"/>
      <c r="J696" s="1335"/>
      <c r="K696" s="1335"/>
      <c r="L696" s="1335"/>
      <c r="M696" s="1335"/>
      <c r="N696" s="1335"/>
      <c r="O696" s="1335"/>
      <c r="P696" s="1335"/>
      <c r="Q696" s="1335"/>
      <c r="R696" s="1335"/>
      <c r="U696" t="s">
        <v>1443</v>
      </c>
      <c r="AA696" s="1335"/>
      <c r="AB696" s="1335"/>
      <c r="AC696" s="1335"/>
      <c r="AD696" s="1335"/>
      <c r="AE696" s="1335"/>
      <c r="AF696" s="1335"/>
      <c r="AG696" s="1335"/>
      <c r="AH696" s="1335"/>
      <c r="AI696" s="1335"/>
      <c r="AJ696" s="1335"/>
      <c r="AK696" s="1335"/>
      <c r="AZ696" s="3"/>
    </row>
    <row r="697" spans="1:52" ht="12.95" customHeight="1">
      <c r="B697" t="s">
        <v>1446</v>
      </c>
      <c r="N697" s="1229" t="s">
        <v>701</v>
      </c>
      <c r="O697" s="1229"/>
      <c r="U697" t="s">
        <v>1446</v>
      </c>
      <c r="AG697" s="1229" t="s">
        <v>701</v>
      </c>
      <c r="AH697" s="1229"/>
      <c r="AZ697" s="3"/>
    </row>
    <row r="698" spans="1:52" ht="12.95" customHeight="1">
      <c r="AZ698" s="3"/>
    </row>
    <row r="699" spans="1:52" ht="12.95" customHeight="1">
      <c r="A699" s="2" t="s">
        <v>928</v>
      </c>
      <c r="C699" s="2" t="s">
        <v>179</v>
      </c>
      <c r="E699" s="95"/>
      <c r="F699" s="95"/>
      <c r="G699" s="95"/>
      <c r="H699" s="95"/>
      <c r="AZ699" s="3"/>
    </row>
    <row r="700" spans="1:52" ht="12.95" customHeight="1">
      <c r="B700" s="99"/>
      <c r="C700" s="99"/>
      <c r="D700" s="921" t="s">
        <v>1469</v>
      </c>
      <c r="E700" s="99"/>
      <c r="F700" s="99"/>
      <c r="G700" s="99"/>
      <c r="H700" s="99"/>
      <c r="AZ700" s="3"/>
    </row>
    <row r="701" spans="1:52" ht="12.95" customHeight="1">
      <c r="B701" s="99"/>
      <c r="C701" s="99"/>
      <c r="E701" s="921" t="s">
        <v>1470</v>
      </c>
      <c r="F701" s="99"/>
      <c r="G701" s="99"/>
      <c r="H701" s="99"/>
      <c r="AE701" s="1229" t="s">
        <v>701</v>
      </c>
      <c r="AF701" s="1229"/>
      <c r="AZ701" s="3"/>
    </row>
    <row r="702" spans="1:52" ht="12.95" customHeight="1">
      <c r="B702" s="99"/>
      <c r="C702" s="99"/>
      <c r="D702" s="921" t="s">
        <v>1471</v>
      </c>
      <c r="E702" s="99"/>
      <c r="F702" s="99"/>
      <c r="G702" s="99"/>
      <c r="H702" s="99"/>
      <c r="AE702" s="1229" t="s">
        <v>701</v>
      </c>
      <c r="AF702" s="1229"/>
      <c r="AZ702" s="3"/>
    </row>
    <row r="703" spans="1:52" ht="12.95" customHeight="1">
      <c r="B703" s="99"/>
      <c r="C703" s="99"/>
      <c r="D703" s="921" t="s">
        <v>1472</v>
      </c>
      <c r="E703" s="99"/>
      <c r="F703" s="99"/>
      <c r="G703" s="99"/>
      <c r="H703" s="99"/>
      <c r="AE703" s="1604"/>
      <c r="AF703" s="1604"/>
      <c r="AG703" s="1604"/>
      <c r="AH703" s="1604"/>
      <c r="AI703" s="1604"/>
    </row>
    <row r="704" spans="1:52" ht="12.95" customHeight="1">
      <c r="B704" s="99"/>
      <c r="C704" s="99"/>
      <c r="D704" s="223" t="s">
        <v>1473</v>
      </c>
      <c r="E704" s="99"/>
      <c r="F704" s="99"/>
      <c r="G704" s="99"/>
      <c r="H704" s="99"/>
      <c r="AE704" s="1593"/>
      <c r="AF704" s="1593"/>
      <c r="AG704" s="1593"/>
      <c r="AH704" s="1593"/>
      <c r="AI704" s="1593"/>
    </row>
    <row r="705" spans="1:110" ht="12.95" customHeight="1">
      <c r="B705" s="99"/>
      <c r="C705" s="99"/>
    </row>
    <row r="706" spans="1:110" ht="12.95" customHeight="1">
      <c r="B706" s="99"/>
      <c r="C706" s="99"/>
      <c r="D706" s="921" t="s">
        <v>1474</v>
      </c>
      <c r="E706" s="99"/>
      <c r="F706" s="99"/>
      <c r="G706" s="99"/>
      <c r="H706" s="99"/>
      <c r="AE706" s="1604">
        <v>46327</v>
      </c>
      <c r="AF706" s="1604"/>
      <c r="AG706" s="1604"/>
      <c r="AH706" s="1604"/>
      <c r="AI706" s="1604"/>
    </row>
    <row r="707" spans="1:110" ht="12.95" customHeight="1">
      <c r="B707" s="99"/>
      <c r="C707" s="99"/>
      <c r="D707" s="921" t="s">
        <v>1475</v>
      </c>
      <c r="E707" s="99"/>
      <c r="F707" s="99"/>
      <c r="G707" s="99"/>
      <c r="H707" s="99"/>
      <c r="AE707" s="1337">
        <v>0.27500000000000002</v>
      </c>
      <c r="AF707" s="1337"/>
      <c r="AG707" s="1337"/>
      <c r="AH707" s="1337"/>
      <c r="AI707" s="1337"/>
    </row>
    <row r="708" spans="1:110" ht="12.95" customHeight="1">
      <c r="B708" s="99"/>
      <c r="C708" s="99"/>
      <c r="D708" s="921" t="s">
        <v>1476</v>
      </c>
      <c r="E708" s="99"/>
      <c r="F708" s="99"/>
      <c r="G708" s="99"/>
      <c r="H708" s="99"/>
      <c r="W708" s="1349" t="str">
        <f>H344</f>
        <v>California Municipal Finance Authority</v>
      </c>
      <c r="X708" s="1349"/>
      <c r="Y708" s="1349"/>
      <c r="Z708" s="1349"/>
      <c r="AA708" s="1349"/>
      <c r="AB708" s="1349"/>
      <c r="AC708" s="1349"/>
      <c r="AD708" s="1349"/>
      <c r="AE708" s="1349"/>
      <c r="AF708" s="1349"/>
      <c r="AG708" s="1349"/>
      <c r="AH708" s="1349"/>
      <c r="AI708" s="1349"/>
      <c r="AJ708" s="1349"/>
      <c r="AK708" s="1349"/>
    </row>
    <row r="709" spans="1:110" ht="12.95" customHeight="1">
      <c r="B709" s="99"/>
      <c r="C709" s="99"/>
      <c r="D709" s="921"/>
      <c r="E709" s="99"/>
      <c r="F709" s="99"/>
      <c r="G709" s="99"/>
      <c r="H709" s="99"/>
    </row>
    <row r="710" spans="1:110" ht="12.95" customHeight="1">
      <c r="B710" s="99"/>
      <c r="C710" s="99"/>
      <c r="D710" s="921" t="s">
        <v>1477</v>
      </c>
      <c r="E710" s="99"/>
      <c r="F710" s="99"/>
      <c r="G710" s="99"/>
      <c r="H710" s="99"/>
      <c r="AE710" s="1229" t="s">
        <v>701</v>
      </c>
      <c r="AF710" s="1229"/>
    </row>
    <row r="711" spans="1:110" ht="12.95" customHeight="1">
      <c r="B711" s="99"/>
      <c r="C711" s="99"/>
      <c r="D711" s="921" t="s">
        <v>1478</v>
      </c>
      <c r="E711" s="99"/>
      <c r="F711" s="99"/>
      <c r="G711" s="99"/>
      <c r="H711" s="99"/>
      <c r="W711" s="1335" t="s">
        <v>826</v>
      </c>
      <c r="X711" s="1335"/>
      <c r="Y711" s="1335"/>
      <c r="Z711" s="1335"/>
      <c r="AA711" s="1335"/>
      <c r="AB711" s="1335"/>
      <c r="AC711" s="1335"/>
      <c r="AD711" s="1335"/>
      <c r="AE711" s="1335"/>
      <c r="AF711" s="1335"/>
      <c r="AG711" s="1335"/>
      <c r="AH711" s="1335"/>
      <c r="AI711" s="1335"/>
      <c r="AJ711" s="1335"/>
      <c r="AK711" s="1335"/>
    </row>
    <row r="712" spans="1:110" ht="12.95" customHeight="1">
      <c r="B712" s="99"/>
      <c r="C712" s="99"/>
      <c r="D712" s="921" t="s">
        <v>1086</v>
      </c>
      <c r="E712" s="99"/>
      <c r="F712" s="99"/>
      <c r="G712" s="99"/>
      <c r="H712" s="99"/>
      <c r="J712" s="1335"/>
      <c r="K712" s="1335"/>
      <c r="L712" s="1335"/>
      <c r="M712" s="1335"/>
      <c r="N712" s="1335"/>
      <c r="O712" s="1335"/>
      <c r="P712" s="1335"/>
      <c r="Q712" s="1335"/>
      <c r="R712" s="1335"/>
      <c r="S712" s="1335"/>
      <c r="T712" s="1335"/>
      <c r="U712" s="1335"/>
      <c r="V712" s="1335"/>
      <c r="W712" s="1335"/>
      <c r="X712" s="1335"/>
      <c r="BB712" s="3"/>
      <c r="BC712" s="3"/>
      <c r="BD712" s="3"/>
      <c r="BE712" s="3"/>
      <c r="BF712" s="3"/>
      <c r="BJ712" s="3"/>
      <c r="BK712" s="3"/>
      <c r="BL712" s="3"/>
      <c r="BM712" s="3"/>
      <c r="BN712" s="3"/>
      <c r="BO712" s="3"/>
    </row>
    <row r="713" spans="1:110" ht="12.95" customHeight="1">
      <c r="B713" s="99"/>
      <c r="C713" s="99"/>
      <c r="D713" s="921" t="s">
        <v>1087</v>
      </c>
      <c r="J713" s="1334"/>
      <c r="K713" s="1334"/>
      <c r="L713" s="1334"/>
      <c r="M713" s="1334"/>
      <c r="N713" s="1334"/>
      <c r="O713" s="1334"/>
      <c r="P713" s="3" t="s">
        <v>1088</v>
      </c>
      <c r="Q713" s="3"/>
      <c r="R713" s="1274"/>
      <c r="S713" s="1274"/>
      <c r="T713" s="127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1479</v>
      </c>
      <c r="W714" s="1335" t="s">
        <v>472</v>
      </c>
      <c r="X714" s="1335"/>
      <c r="Y714" s="1335"/>
      <c r="Z714" s="1335"/>
      <c r="AA714" s="1335"/>
      <c r="AB714" s="1335"/>
      <c r="AC714" s="1335"/>
      <c r="AD714" s="1335"/>
      <c r="AE714" s="1335"/>
      <c r="AF714" s="1335"/>
      <c r="AG714" s="1335"/>
      <c r="AH714" s="1335"/>
      <c r="AI714" s="1335"/>
      <c r="AJ714" s="1335"/>
      <c r="AK714" s="133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35" t="s">
        <v>1282</v>
      </c>
      <c r="F715" s="1335"/>
      <c r="G715" s="1335"/>
      <c r="H715" s="1335"/>
      <c r="I715" s="1335"/>
      <c r="J715" s="1335"/>
      <c r="K715" s="1335"/>
      <c r="L715" s="1335"/>
      <c r="M715" s="1335"/>
      <c r="N715" s="1335"/>
      <c r="O715" s="1335"/>
      <c r="P715" s="1335"/>
      <c r="Q715" s="1335"/>
      <c r="R715" s="1335"/>
      <c r="S715" s="1335"/>
      <c r="T715" s="1335"/>
      <c r="U715" s="1335"/>
      <c r="V715" s="1335"/>
      <c r="W715" s="1335"/>
      <c r="X715" s="1335"/>
      <c r="Y715" s="1335"/>
      <c r="Z715" s="1335"/>
      <c r="AA715" s="1335"/>
      <c r="AB715" s="1335"/>
      <c r="AC715" s="1335"/>
      <c r="AD715" s="1335"/>
      <c r="AE715" s="1335"/>
      <c r="AF715" s="1335"/>
      <c r="AG715" s="1335"/>
      <c r="AH715" s="1335"/>
      <c r="AI715" s="1335"/>
      <c r="AJ715" s="1335"/>
      <c r="AK715" s="133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01" t="s">
        <v>1480</v>
      </c>
      <c r="B717" s="1301"/>
      <c r="C717" s="1301"/>
      <c r="D717" s="1301"/>
      <c r="E717" s="1301"/>
      <c r="F717" s="1301"/>
      <c r="G717" s="1301"/>
      <c r="H717" s="1301"/>
      <c r="I717" s="1301"/>
      <c r="J717" s="1301"/>
      <c r="K717" s="1301"/>
      <c r="L717" s="1301"/>
      <c r="M717" s="1301"/>
      <c r="N717" s="1301"/>
      <c r="O717" s="1301"/>
      <c r="P717" s="1301"/>
      <c r="Q717" s="1301"/>
      <c r="R717" s="1301"/>
      <c r="S717" s="1301"/>
      <c r="T717" s="1301"/>
      <c r="U717" s="1301"/>
      <c r="V717" s="1301"/>
      <c r="W717" s="1301"/>
      <c r="X717" s="1301"/>
      <c r="Y717" s="1301"/>
      <c r="Z717" s="1301"/>
      <c r="AA717" s="1301"/>
      <c r="AB717" s="1301"/>
      <c r="AC717" s="1301"/>
      <c r="AD717" s="1301"/>
      <c r="AE717" s="1301"/>
      <c r="AF717" s="1301"/>
      <c r="AG717" s="1301"/>
      <c r="AH717" s="1301"/>
      <c r="AI717" s="1301"/>
      <c r="AJ717" s="1301"/>
      <c r="AK717" s="1301"/>
      <c r="AL717" s="1301"/>
      <c r="AM717" s="1301"/>
      <c r="AN717" s="1301"/>
      <c r="AO717" s="1301"/>
      <c r="AP717" s="1301"/>
      <c r="AQ717" s="1301"/>
      <c r="AR717" s="1301"/>
      <c r="AS717" s="1301"/>
      <c r="AT717" s="1301"/>
      <c r="AZ717" s="3" t="s">
        <v>846</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01"/>
      <c r="B718" s="1301"/>
      <c r="C718" s="1301"/>
      <c r="D718" s="1301"/>
      <c r="E718" s="1301"/>
      <c r="F718" s="1301"/>
      <c r="G718" s="1301"/>
      <c r="H718" s="1301"/>
      <c r="I718" s="1301"/>
      <c r="J718" s="1301"/>
      <c r="K718" s="1301"/>
      <c r="L718" s="1301"/>
      <c r="M718" s="1301"/>
      <c r="N718" s="1301"/>
      <c r="O718" s="1301"/>
      <c r="P718" s="1301"/>
      <c r="Q718" s="1301"/>
      <c r="R718" s="1301"/>
      <c r="S718" s="1301"/>
      <c r="T718" s="1301"/>
      <c r="U718" s="1301"/>
      <c r="V718" s="1301"/>
      <c r="W718" s="1301"/>
      <c r="X718" s="1301"/>
      <c r="Y718" s="1301"/>
      <c r="Z718" s="1301"/>
      <c r="AA718" s="1301"/>
      <c r="AB718" s="1301"/>
      <c r="AC718" s="1301"/>
      <c r="AD718" s="1301"/>
      <c r="AE718" s="1301"/>
      <c r="AF718" s="1301"/>
      <c r="AG718" s="1301"/>
      <c r="AH718" s="1301"/>
      <c r="AI718" s="1301"/>
      <c r="AJ718" s="1301"/>
      <c r="AK718" s="1301"/>
      <c r="AL718" s="1301"/>
      <c r="AM718" s="1301"/>
      <c r="AN718" s="1301"/>
      <c r="AO718" s="1301"/>
      <c r="AP718" s="1301"/>
      <c r="AQ718" s="1301"/>
      <c r="AR718" s="1301"/>
      <c r="AS718" s="1301"/>
      <c r="AT718" s="1301"/>
      <c r="AZ718" s="3" t="s">
        <v>847</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01"/>
      <c r="B719" s="1301"/>
      <c r="C719" s="1301"/>
      <c r="D719" s="1301"/>
      <c r="E719" s="1301"/>
      <c r="F719" s="1301"/>
      <c r="G719" s="1301"/>
      <c r="H719" s="1301"/>
      <c r="I719" s="1301"/>
      <c r="J719" s="1301"/>
      <c r="K719" s="1301"/>
      <c r="L719" s="1301"/>
      <c r="M719" s="1301"/>
      <c r="N719" s="1301"/>
      <c r="O719" s="1301"/>
      <c r="P719" s="1301"/>
      <c r="Q719" s="1301"/>
      <c r="R719" s="1301"/>
      <c r="S719" s="1301"/>
      <c r="T719" s="1301"/>
      <c r="U719" s="1301"/>
      <c r="V719" s="1301"/>
      <c r="W719" s="1301"/>
      <c r="X719" s="1301"/>
      <c r="Y719" s="1301"/>
      <c r="Z719" s="1301"/>
      <c r="AA719" s="1301"/>
      <c r="AB719" s="1301"/>
      <c r="AC719" s="1301"/>
      <c r="AD719" s="1301"/>
      <c r="AE719" s="1301"/>
      <c r="AF719" s="1301"/>
      <c r="AG719" s="1301"/>
      <c r="AH719" s="1301"/>
      <c r="AI719" s="1301"/>
      <c r="AJ719" s="1301"/>
      <c r="AK719" s="1301"/>
      <c r="AL719" s="1301"/>
      <c r="AM719" s="1301"/>
      <c r="AN719" s="1301"/>
      <c r="AO719" s="1301"/>
      <c r="AP719" s="1301"/>
      <c r="AQ719" s="1301"/>
      <c r="AR719" s="1301"/>
      <c r="AS719" s="1301"/>
      <c r="AT719" s="1301"/>
      <c r="AZ719" s="3" t="s">
        <v>848</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887</v>
      </c>
      <c r="B720" s="2"/>
      <c r="C720" s="2" t="s">
        <v>1481</v>
      </c>
      <c r="AZ720" s="3" t="s">
        <v>849</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850</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16" t="s">
        <v>1482</v>
      </c>
      <c r="C722" s="1317"/>
      <c r="D722" s="1317"/>
      <c r="E722" s="1317"/>
      <c r="F722" s="1318"/>
      <c r="G722" s="1316" t="s">
        <v>1483</v>
      </c>
      <c r="H722" s="1317"/>
      <c r="I722" s="1317"/>
      <c r="J722" s="1318"/>
      <c r="K722" s="1587" t="s">
        <v>1484</v>
      </c>
      <c r="L722" s="1588"/>
      <c r="M722" s="1588"/>
      <c r="N722" s="1589"/>
      <c r="O722" s="1316" t="s">
        <v>1485</v>
      </c>
      <c r="P722" s="1317"/>
      <c r="Q722" s="1317"/>
      <c r="R722" s="1317"/>
      <c r="S722" s="1318"/>
      <c r="T722" s="1316" t="s">
        <v>1486</v>
      </c>
      <c r="U722" s="1317"/>
      <c r="V722" s="1317"/>
      <c r="W722" s="1318"/>
      <c r="X722" s="1316" t="s">
        <v>1487</v>
      </c>
      <c r="Y722" s="1317"/>
      <c r="Z722" s="1317"/>
      <c r="AA722" s="1317"/>
      <c r="AB722" s="1318"/>
      <c r="AC722" s="1316" t="s">
        <v>1488</v>
      </c>
      <c r="AD722" s="1317"/>
      <c r="AE722" s="1317"/>
      <c r="AF722" s="1317"/>
      <c r="AG722" s="1318"/>
      <c r="AH722" s="1316" t="s">
        <v>1489</v>
      </c>
      <c r="AI722" s="1317"/>
      <c r="AJ722" s="1318"/>
      <c r="AK722" s="1316" t="s">
        <v>1490</v>
      </c>
      <c r="AL722" s="1317"/>
      <c r="AM722" s="1317"/>
      <c r="AN722" s="1317"/>
      <c r="AO722" s="1318"/>
      <c r="AP722" s="3"/>
      <c r="AQ722" s="3"/>
      <c r="AR722" s="3"/>
      <c r="AS722" s="3"/>
      <c r="AZ722" s="3" t="s">
        <v>851</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19"/>
      <c r="C723" s="1320"/>
      <c r="D723" s="1320"/>
      <c r="E723" s="1320"/>
      <c r="F723" s="1321"/>
      <c r="G723" s="1319"/>
      <c r="H723" s="1320"/>
      <c r="I723" s="1320"/>
      <c r="J723" s="1321"/>
      <c r="K723" s="1590"/>
      <c r="L723" s="1591"/>
      <c r="M723" s="1591"/>
      <c r="N723" s="1592"/>
      <c r="O723" s="1319"/>
      <c r="P723" s="1320"/>
      <c r="Q723" s="1320"/>
      <c r="R723" s="1320"/>
      <c r="S723" s="1321"/>
      <c r="T723" s="1319"/>
      <c r="U723" s="1320"/>
      <c r="V723" s="1320"/>
      <c r="W723" s="1321"/>
      <c r="X723" s="1319"/>
      <c r="Y723" s="1320"/>
      <c r="Z723" s="1320"/>
      <c r="AA723" s="1320"/>
      <c r="AB723" s="1321"/>
      <c r="AC723" s="1319"/>
      <c r="AD723" s="1320"/>
      <c r="AE723" s="1320"/>
      <c r="AF723" s="1320"/>
      <c r="AG723" s="1321"/>
      <c r="AH723" s="1319"/>
      <c r="AI723" s="1320"/>
      <c r="AJ723" s="1321"/>
      <c r="AK723" s="1319"/>
      <c r="AL723" s="1320"/>
      <c r="AM723" s="1320"/>
      <c r="AN723" s="1320"/>
      <c r="AO723" s="132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19"/>
      <c r="C724" s="1320"/>
      <c r="D724" s="1320"/>
      <c r="E724" s="1320"/>
      <c r="F724" s="1321"/>
      <c r="G724" s="1319"/>
      <c r="H724" s="1320"/>
      <c r="I724" s="1320"/>
      <c r="J724" s="1321"/>
      <c r="K724" s="1590"/>
      <c r="L724" s="1591"/>
      <c r="M724" s="1591"/>
      <c r="N724" s="1592"/>
      <c r="O724" s="1319"/>
      <c r="P724" s="1320"/>
      <c r="Q724" s="1320"/>
      <c r="R724" s="1320"/>
      <c r="S724" s="1321"/>
      <c r="T724" s="1319"/>
      <c r="U724" s="1320"/>
      <c r="V724" s="1320"/>
      <c r="W724" s="1321"/>
      <c r="X724" s="1319"/>
      <c r="Y724" s="1320"/>
      <c r="Z724" s="1320"/>
      <c r="AA724" s="1320"/>
      <c r="AB724" s="1321"/>
      <c r="AC724" s="1319"/>
      <c r="AD724" s="1320"/>
      <c r="AE724" s="1320"/>
      <c r="AF724" s="1320"/>
      <c r="AG724" s="1321"/>
      <c r="AH724" s="1319"/>
      <c r="AI724" s="1320"/>
      <c r="AJ724" s="1321"/>
      <c r="AK724" s="1319"/>
      <c r="AL724" s="1320"/>
      <c r="AM724" s="1320"/>
      <c r="AN724" s="1320"/>
      <c r="AO724" s="1321"/>
      <c r="AP724" s="3"/>
      <c r="AQ724" s="3"/>
      <c r="AR724" s="3"/>
      <c r="AS724" s="3"/>
      <c r="BA724" s="3"/>
      <c r="BB724" s="3"/>
      <c r="BC724" s="3"/>
      <c r="BD724" s="3"/>
      <c r="BE724" s="136"/>
      <c r="BF724" s="137" t="s">
        <v>1491</v>
      </c>
      <c r="BG724" s="136"/>
      <c r="BH724" s="136"/>
      <c r="BI724" s="3"/>
      <c r="BJ724" s="3"/>
      <c r="BK724" s="3"/>
      <c r="BL724" s="3"/>
      <c r="BM724" s="3"/>
      <c r="BN724" s="3"/>
      <c r="BS724" s="137" t="s">
        <v>1492</v>
      </c>
      <c r="BT724" s="136"/>
      <c r="BU724" s="136"/>
      <c r="CC724" s="3"/>
      <c r="CD724" s="3"/>
      <c r="CE724" s="3"/>
      <c r="CF724" s="3"/>
      <c r="CG724" s="3"/>
      <c r="CH724" s="3"/>
      <c r="CI724" s="3"/>
      <c r="CJ724" s="3"/>
      <c r="CK724" s="3"/>
      <c r="CL724" s="3"/>
      <c r="CM724" s="3"/>
      <c r="CN724" s="3"/>
      <c r="CO724" s="3"/>
      <c r="CP724" s="3" t="s">
        <v>1493</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1494</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1495</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22"/>
      <c r="C725" s="1323"/>
      <c r="D725" s="1323"/>
      <c r="E725" s="1323"/>
      <c r="F725" s="1324"/>
      <c r="G725" s="1322"/>
      <c r="H725" s="1323"/>
      <c r="I725" s="1323"/>
      <c r="J725" s="1324"/>
      <c r="K725" s="1590"/>
      <c r="L725" s="1591"/>
      <c r="M725" s="1591"/>
      <c r="N725" s="1592"/>
      <c r="O725" s="1322"/>
      <c r="P725" s="1323"/>
      <c r="Q725" s="1323"/>
      <c r="R725" s="1323"/>
      <c r="S725" s="1324"/>
      <c r="T725" s="1322"/>
      <c r="U725" s="1323"/>
      <c r="V725" s="1323"/>
      <c r="W725" s="1324"/>
      <c r="X725" s="1322"/>
      <c r="Y725" s="1323"/>
      <c r="Z725" s="1323"/>
      <c r="AA725" s="1323"/>
      <c r="AB725" s="1324"/>
      <c r="AC725" s="1322"/>
      <c r="AD725" s="1323"/>
      <c r="AE725" s="1323"/>
      <c r="AF725" s="1323"/>
      <c r="AG725" s="1324"/>
      <c r="AH725" s="1322"/>
      <c r="AI725" s="1323"/>
      <c r="AJ725" s="1324"/>
      <c r="AK725" s="1322"/>
      <c r="AL725" s="1323"/>
      <c r="AM725" s="1323"/>
      <c r="AN725" s="1323"/>
      <c r="AO725" s="1324"/>
      <c r="AP725" s="3"/>
      <c r="AQ725" s="3"/>
      <c r="AR725" s="3"/>
      <c r="AS725" s="3"/>
      <c r="AZ725" s="73" t="s">
        <v>1496</v>
      </c>
      <c r="BA725" s="3"/>
      <c r="BB725" s="3"/>
      <c r="BC725" s="3"/>
      <c r="BD725" s="3"/>
      <c r="BE725" s="136"/>
      <c r="BF725" s="201" t="s">
        <v>1497</v>
      </c>
      <c r="BG725" s="205" t="s">
        <v>1498</v>
      </c>
      <c r="BH725" s="204" t="s">
        <v>1499</v>
      </c>
      <c r="BI725" s="3"/>
      <c r="BJ725" s="3"/>
      <c r="BK725" s="3"/>
      <c r="BL725" s="3"/>
      <c r="BM725" s="3"/>
      <c r="BN725" s="3"/>
      <c r="BS725" s="201" t="s">
        <v>1497</v>
      </c>
      <c r="BT725" s="205" t="s">
        <v>1498</v>
      </c>
      <c r="BU725" s="204" t="s">
        <v>1499</v>
      </c>
      <c r="CC725" s="3"/>
      <c r="CD725" s="3"/>
      <c r="CE725" s="3"/>
      <c r="CF725" s="3"/>
      <c r="CG725" s="87" t="s">
        <v>1500</v>
      </c>
      <c r="CH725" s="88"/>
      <c r="CI725" s="1432"/>
      <c r="CJ725" s="1434"/>
      <c r="CK725" s="87" t="s">
        <v>1501</v>
      </c>
      <c r="CL725" s="88"/>
      <c r="CM725" s="1432"/>
      <c r="CN725" s="1434"/>
      <c r="CO725" s="3"/>
      <c r="CP725" s="1286" t="s">
        <v>852</v>
      </c>
      <c r="CQ725" s="1287"/>
      <c r="CR725" s="1287"/>
      <c r="CS725" s="1287"/>
      <c r="CT725" s="1288"/>
      <c r="CU725" s="1427" t="s">
        <v>847</v>
      </c>
      <c r="CV725" s="1427"/>
      <c r="CW725" s="1427"/>
      <c r="CX725" s="1427"/>
      <c r="CY725" s="1427"/>
      <c r="CZ725" s="1427" t="s">
        <v>848</v>
      </c>
      <c r="DA725" s="1427"/>
      <c r="DB725" s="1427"/>
      <c r="DC725" s="1427"/>
      <c r="DD725" s="1427"/>
      <c r="DE725" s="1427" t="s">
        <v>849</v>
      </c>
      <c r="DF725" s="1427"/>
      <c r="DG725" s="1427"/>
      <c r="DH725" s="1427"/>
      <c r="DI725" s="1427"/>
      <c r="DJ725" s="1427" t="s">
        <v>853</v>
      </c>
      <c r="DK725" s="1427"/>
      <c r="DL725" s="1427"/>
      <c r="DM725" s="1427"/>
      <c r="DN725" s="1427"/>
      <c r="DO725" s="1427" t="s">
        <v>851</v>
      </c>
      <c r="DP725" s="1427"/>
      <c r="DQ725" s="1427"/>
      <c r="DR725" s="1427"/>
      <c r="DS725" s="1427"/>
      <c r="DT725" s="65"/>
      <c r="DU725" s="1427" t="s">
        <v>852</v>
      </c>
      <c r="DV725" s="1427"/>
      <c r="DW725" s="1427"/>
      <c r="DX725" s="1427"/>
      <c r="DY725" s="1427"/>
      <c r="DZ725" s="1427" t="s">
        <v>847</v>
      </c>
      <c r="EA725" s="1427"/>
      <c r="EB725" s="1427"/>
      <c r="EC725" s="1427"/>
      <c r="ED725" s="1427"/>
      <c r="EE725" s="1427" t="s">
        <v>848</v>
      </c>
      <c r="EF725" s="1427"/>
      <c r="EG725" s="1427"/>
      <c r="EH725" s="1427"/>
      <c r="EI725" s="1427"/>
      <c r="EJ725" s="1427" t="s">
        <v>849</v>
      </c>
      <c r="EK725" s="1427"/>
      <c r="EL725" s="1427"/>
      <c r="EM725" s="1427"/>
      <c r="EN725" s="1427"/>
      <c r="EO725" s="1427" t="s">
        <v>853</v>
      </c>
      <c r="EP725" s="1427"/>
      <c r="EQ725" s="1427"/>
      <c r="ER725" s="1427"/>
      <c r="ES725" s="1427"/>
      <c r="ET725" s="1427" t="s">
        <v>851</v>
      </c>
      <c r="EU725" s="1427"/>
      <c r="EV725" s="1427"/>
      <c r="EW725" s="1427"/>
      <c r="EX725" s="1427"/>
      <c r="EY725" s="3"/>
      <c r="EZ725" s="1427" t="s">
        <v>852</v>
      </c>
      <c r="FA725" s="1427"/>
      <c r="FB725" s="1427"/>
      <c r="FC725" s="1427"/>
      <c r="FD725" s="1427"/>
      <c r="FE725" s="1427" t="s">
        <v>847</v>
      </c>
      <c r="FF725" s="1427"/>
      <c r="FG725" s="1427"/>
      <c r="FH725" s="1427"/>
      <c r="FI725" s="1427"/>
      <c r="FJ725" s="1427" t="s">
        <v>848</v>
      </c>
      <c r="FK725" s="1427"/>
      <c r="FL725" s="1427"/>
      <c r="FM725" s="1427"/>
      <c r="FN725" s="1427"/>
      <c r="FO725" s="1427" t="s">
        <v>849</v>
      </c>
      <c r="FP725" s="1427"/>
      <c r="FQ725" s="1427"/>
      <c r="FR725" s="1427"/>
      <c r="FS725" s="1427"/>
      <c r="FT725" s="1427" t="s">
        <v>853</v>
      </c>
      <c r="FU725" s="1427"/>
      <c r="FV725" s="1427"/>
      <c r="FW725" s="1427"/>
      <c r="FX725" s="1427"/>
      <c r="FY725" s="1427" t="s">
        <v>851</v>
      </c>
      <c r="FZ725" s="1427"/>
      <c r="GA725" s="1427"/>
      <c r="GB725" s="1427"/>
      <c r="GC725" s="1427"/>
    </row>
    <row r="726" spans="1:185" ht="12.95" customHeight="1">
      <c r="A726" s="3"/>
      <c r="B726" s="1255" t="s">
        <v>847</v>
      </c>
      <c r="C726" s="1256"/>
      <c r="D726" s="1256"/>
      <c r="E726" s="1256"/>
      <c r="F726" s="1257"/>
      <c r="G726" s="1249">
        <v>18</v>
      </c>
      <c r="H726" s="1250"/>
      <c r="I726" s="1250"/>
      <c r="J726" s="1251"/>
      <c r="K726" s="1252">
        <v>607</v>
      </c>
      <c r="L726" s="1253"/>
      <c r="M726" s="1253"/>
      <c r="N726" s="1254"/>
      <c r="O726" s="1302">
        <v>795</v>
      </c>
      <c r="P726" s="1303"/>
      <c r="Q726" s="1303"/>
      <c r="R726" s="1303"/>
      <c r="S726" s="1304"/>
      <c r="T726" s="1302">
        <v>18</v>
      </c>
      <c r="U726" s="1303"/>
      <c r="V726" s="1303"/>
      <c r="W726" s="1304"/>
      <c r="X726" s="1305">
        <f t="shared" ref="X726:X749" si="10">O726+T726</f>
        <v>813</v>
      </c>
      <c r="Y726" s="1300"/>
      <c r="Z726" s="1300"/>
      <c r="AA726" s="1300"/>
      <c r="AB726" s="1306"/>
      <c r="AC726" s="1307">
        <v>0.3</v>
      </c>
      <c r="AD726" s="1308"/>
      <c r="AE726" s="1308"/>
      <c r="AF726" s="1308"/>
      <c r="AG726" s="1309"/>
      <c r="AH726" s="1325">
        <f>IF($AC726&gt;0,($X726/$AZ726), "")</f>
        <v>0.3</v>
      </c>
      <c r="AI726" s="1326"/>
      <c r="AJ726" s="1327"/>
      <c r="AK726" s="1255" t="s">
        <v>1502</v>
      </c>
      <c r="AL726" s="1256"/>
      <c r="AM726" s="1256"/>
      <c r="AN726" s="1256"/>
      <c r="AO726" s="1257"/>
      <c r="AP726" s="3"/>
      <c r="AQ726" s="3"/>
      <c r="AR726" s="3"/>
      <c r="AS726" s="3"/>
      <c r="AZ726" s="84">
        <f t="shared" ref="AZ726:AZ760" si="11">IF($G726=0,"N/A",VLOOKUP($T$189,TC_Rent,(MATCH($B726,bedrooms,FALSE)),FALSE))</f>
        <v>2710</v>
      </c>
      <c r="BA726" s="3"/>
      <c r="BB726" s="3"/>
      <c r="BC726" s="3"/>
      <c r="BD726" s="3"/>
      <c r="BE726" s="136"/>
      <c r="BF726" s="202">
        <f t="shared" ref="BF726:BF760" si="12">G726</f>
        <v>18</v>
      </c>
      <c r="BG726" s="206">
        <f t="shared" ref="BG726:BG760" si="13">IF($BF$761=0,0,BF726/$BF$761)</f>
        <v>0.18181818181818182</v>
      </c>
      <c r="BH726" s="207">
        <f t="shared" ref="BH726:BH760" si="14">IF(BG726=0,"",BG726*AC726)</f>
        <v>5.4545454545454543E-2</v>
      </c>
      <c r="BI726" s="3"/>
      <c r="BJ726" s="3"/>
      <c r="BK726" s="3"/>
      <c r="BL726" s="3"/>
      <c r="BM726" s="3"/>
      <c r="BN726" s="3"/>
      <c r="BS726" s="202">
        <f t="shared" ref="BS726:BS760" si="15">G726</f>
        <v>18</v>
      </c>
      <c r="BT726" s="206">
        <f t="shared" ref="BT726:BT760" si="16">IF($BS$761=0,0,BS726/$BS$761)</f>
        <v>0.18181818181818182</v>
      </c>
      <c r="BU726" s="207">
        <f t="shared" ref="BU726:BU760" si="17">IF(BT726=0,"",BT726*AH726)</f>
        <v>5.4545454545454543E-2</v>
      </c>
      <c r="CC726" s="3"/>
      <c r="CD726" s="3"/>
      <c r="CE726" s="3"/>
      <c r="CF726" s="3"/>
      <c r="CG726" s="1432">
        <f>IF(AND(AC726&lt;=0.5,AC726&gt;=0.36),1,0)</f>
        <v>0</v>
      </c>
      <c r="CH726" s="1434"/>
      <c r="CI726" s="1432">
        <f>IF(CG726=1,G726,0)</f>
        <v>0</v>
      </c>
      <c r="CJ726" s="1434"/>
      <c r="CK726" s="1432">
        <f t="shared" ref="CK726:CK760" si="18">IF(AND(AC726&lt;=0.35,AC726&gt;0),1,0)</f>
        <v>1</v>
      </c>
      <c r="CL726" s="1434"/>
      <c r="CM726" s="1432">
        <f t="shared" ref="CM726:CM760" si="19">IF(CK726=1,G726,0)</f>
        <v>18</v>
      </c>
      <c r="CN726" s="1434"/>
      <c r="CO726" s="3"/>
      <c r="CP726" s="1428">
        <f t="shared" ref="CP726:CP760" si="20">IF(B726="SRO/Studio",G726,0)</f>
        <v>0</v>
      </c>
      <c r="CQ726" s="1429"/>
      <c r="CR726" s="1429"/>
      <c r="CS726" s="1429"/>
      <c r="CT726" s="1430"/>
      <c r="CU726" s="1426">
        <f t="shared" ref="CU726:CU760" si="21">IF(B726="1 Bedroom",G726,0)</f>
        <v>18</v>
      </c>
      <c r="CV726" s="1426"/>
      <c r="CW726" s="1426"/>
      <c r="CX726" s="1426"/>
      <c r="CY726" s="1426"/>
      <c r="CZ726" s="1426">
        <f t="shared" ref="CZ726:CZ760" si="22">IF(B726="2 Bedrooms",G726,0)</f>
        <v>0</v>
      </c>
      <c r="DA726" s="1426"/>
      <c r="DB726" s="1426"/>
      <c r="DC726" s="1426"/>
      <c r="DD726" s="1426"/>
      <c r="DE726" s="1426">
        <f t="shared" ref="DE726:DE760" si="23">IF(B726="3 Bedrooms",G726,0)</f>
        <v>0</v>
      </c>
      <c r="DF726" s="1426"/>
      <c r="DG726" s="1426"/>
      <c r="DH726" s="1426"/>
      <c r="DI726" s="1426"/>
      <c r="DJ726" s="1426">
        <f t="shared" ref="DJ726:DJ760" si="24">IF(B726="4 Bedrooms",G726,0)</f>
        <v>0</v>
      </c>
      <c r="DK726" s="1426"/>
      <c r="DL726" s="1426"/>
      <c r="DM726" s="1426"/>
      <c r="DN726" s="1426"/>
      <c r="DO726" s="1426">
        <f t="shared" ref="DO726:DO760" si="25">IF(B726="5 Bedrooms",G726,0)</f>
        <v>0</v>
      </c>
      <c r="DP726" s="1426"/>
      <c r="DQ726" s="1426"/>
      <c r="DR726" s="1426"/>
      <c r="DS726" s="1426"/>
      <c r="DT726" s="257"/>
      <c r="DU726" s="1421">
        <f t="shared" ref="DU726:DU760" si="26">IF(AND(B726="SRO/Studio",AC726&lt;=0.3),G726,0)</f>
        <v>0</v>
      </c>
      <c r="DV726" s="1421"/>
      <c r="DW726" s="1421"/>
      <c r="DX726" s="1421"/>
      <c r="DY726" s="1421"/>
      <c r="DZ726" s="1421">
        <f t="shared" ref="DZ726:DZ760" si="27">IF(AND(B726="1 Bedroom",AC726&lt;=0.3),G726,0)</f>
        <v>18</v>
      </c>
      <c r="EA726" s="1421"/>
      <c r="EB726" s="1421"/>
      <c r="EC726" s="1421"/>
      <c r="ED726" s="1421"/>
      <c r="EE726" s="1421">
        <f t="shared" ref="EE726:EE760" si="28">IF(AND(B726="2 Bedrooms",AC726&lt;=0.3),G726,0)</f>
        <v>0</v>
      </c>
      <c r="EF726" s="1421"/>
      <c r="EG726" s="1421"/>
      <c r="EH726" s="1421"/>
      <c r="EI726" s="1421"/>
      <c r="EJ726" s="1421">
        <f t="shared" ref="EJ726:EJ760" si="29">IF(AND(B726="3 Bedrooms",AC726&lt;=0.3),G726,0)</f>
        <v>0</v>
      </c>
      <c r="EK726" s="1421"/>
      <c r="EL726" s="1421"/>
      <c r="EM726" s="1421"/>
      <c r="EN726" s="1421"/>
      <c r="EO726" s="1421">
        <f t="shared" ref="EO726:EO760" si="30">IF(AND(B726="4 Bedrooms",AC726&lt;=0.3),G726,0)</f>
        <v>0</v>
      </c>
      <c r="EP726" s="1421"/>
      <c r="EQ726" s="1421"/>
      <c r="ER726" s="1421"/>
      <c r="ES726" s="1421"/>
      <c r="ET726" s="1421">
        <f t="shared" ref="ET726:ET760" si="31">IF(AND(B726="5 Bedrooms",AC726&lt;=0.3),G726,0)</f>
        <v>0</v>
      </c>
      <c r="EU726" s="1421"/>
      <c r="EV726" s="1421"/>
      <c r="EW726" s="1421"/>
      <c r="EX726" s="1421"/>
      <c r="EY726" s="3"/>
      <c r="EZ726" s="1432" t="str">
        <f t="shared" ref="EZ726:EZ760" si="32">IF(CP726&gt;0,O726,"")</f>
        <v/>
      </c>
      <c r="FA726" s="1433"/>
      <c r="FB726" s="1433"/>
      <c r="FC726" s="1433"/>
      <c r="FD726" s="1434"/>
      <c r="FE726" s="1432">
        <f t="shared" ref="FE726:FE760" si="33">IF(CU726&gt;0,O726,"")</f>
        <v>795</v>
      </c>
      <c r="FF726" s="1433"/>
      <c r="FG726" s="1433"/>
      <c r="FH726" s="1433"/>
      <c r="FI726" s="1434"/>
      <c r="FJ726" s="1432" t="str">
        <f t="shared" ref="FJ726:FJ760" si="34">IF(CZ726&gt;0,O726,"")</f>
        <v/>
      </c>
      <c r="FK726" s="1433"/>
      <c r="FL726" s="1433"/>
      <c r="FM726" s="1433"/>
      <c r="FN726" s="1434"/>
      <c r="FO726" s="1432" t="str">
        <f t="shared" ref="FO726:FO760" si="35">IF(DE726&gt;0,O726,"")</f>
        <v/>
      </c>
      <c r="FP726" s="1433"/>
      <c r="FQ726" s="1433"/>
      <c r="FR726" s="1433"/>
      <c r="FS726" s="1434"/>
      <c r="FT726" s="1432" t="str">
        <f t="shared" ref="FT726:FT760" si="36">IF(DJ726&gt;0,O726,"")</f>
        <v/>
      </c>
      <c r="FU726" s="1433"/>
      <c r="FV726" s="1433"/>
      <c r="FW726" s="1433"/>
      <c r="FX726" s="1434"/>
      <c r="FY726" s="1432" t="str">
        <f t="shared" ref="FY726:FY760" si="37">IF(DO726&gt;0,O726,"")</f>
        <v/>
      </c>
      <c r="FZ726" s="1433"/>
      <c r="GA726" s="1433"/>
      <c r="GB726" s="1433"/>
      <c r="GC726" s="1434"/>
    </row>
    <row r="727" spans="1:185" ht="12.95" customHeight="1">
      <c r="A727" s="3"/>
      <c r="B727" s="1255" t="s">
        <v>847</v>
      </c>
      <c r="C727" s="1256"/>
      <c r="D727" s="1256"/>
      <c r="E727" s="1256"/>
      <c r="F727" s="1257"/>
      <c r="G727" s="1249">
        <v>7</v>
      </c>
      <c r="H727" s="1250"/>
      <c r="I727" s="1250"/>
      <c r="J727" s="1251"/>
      <c r="K727" s="1252">
        <v>607</v>
      </c>
      <c r="L727" s="1253"/>
      <c r="M727" s="1253"/>
      <c r="N727" s="1254"/>
      <c r="O727" s="1302">
        <v>795</v>
      </c>
      <c r="P727" s="1303"/>
      <c r="Q727" s="1303"/>
      <c r="R727" s="1303"/>
      <c r="S727" s="1304"/>
      <c r="T727" s="1302">
        <v>18</v>
      </c>
      <c r="U727" s="1303"/>
      <c r="V727" s="1303"/>
      <c r="W727" s="1304"/>
      <c r="X727" s="1305">
        <f t="shared" si="10"/>
        <v>813</v>
      </c>
      <c r="Y727" s="1300"/>
      <c r="Z727" s="1300"/>
      <c r="AA727" s="1300"/>
      <c r="AB727" s="1306"/>
      <c r="AC727" s="1307">
        <v>0.3</v>
      </c>
      <c r="AD727" s="1308"/>
      <c r="AE727" s="1308"/>
      <c r="AF727" s="1308"/>
      <c r="AG727" s="1309"/>
      <c r="AH727" s="1325">
        <f t="shared" ref="AH727:AH760" si="38">IF($AC727&gt;0,($X727/$AZ727), "")</f>
        <v>0.3</v>
      </c>
      <c r="AI727" s="1326"/>
      <c r="AJ727" s="1327"/>
      <c r="AK727" s="1255" t="s">
        <v>826</v>
      </c>
      <c r="AL727" s="1256"/>
      <c r="AM727" s="1256"/>
      <c r="AN727" s="1256"/>
      <c r="AO727" s="1257"/>
      <c r="AP727" s="3"/>
      <c r="AQ727" s="3"/>
      <c r="AR727" s="3"/>
      <c r="AS727" s="3"/>
      <c r="AZ727" s="84">
        <f t="shared" si="11"/>
        <v>2710</v>
      </c>
      <c r="BA727" s="3"/>
      <c r="BB727" s="3"/>
      <c r="BC727" s="3"/>
      <c r="BD727" s="3"/>
      <c r="BE727" s="136"/>
      <c r="BF727" s="203">
        <f t="shared" si="12"/>
        <v>7</v>
      </c>
      <c r="BG727" s="206">
        <f t="shared" si="13"/>
        <v>7.0707070707070704E-2</v>
      </c>
      <c r="BH727" s="207">
        <f t="shared" si="14"/>
        <v>2.121212121212121E-2</v>
      </c>
      <c r="BI727" s="3"/>
      <c r="BJ727" s="3"/>
      <c r="BK727" s="3"/>
      <c r="BL727" s="3"/>
      <c r="BM727" s="3"/>
      <c r="BN727" s="3"/>
      <c r="BS727" s="203">
        <f t="shared" si="15"/>
        <v>7</v>
      </c>
      <c r="BT727" s="206">
        <f t="shared" si="16"/>
        <v>7.0707070707070704E-2</v>
      </c>
      <c r="BU727" s="207">
        <f t="shared" si="17"/>
        <v>2.121212121212121E-2</v>
      </c>
      <c r="CC727" s="3"/>
      <c r="CD727" s="3"/>
      <c r="CE727" s="3"/>
      <c r="CF727" s="3"/>
      <c r="CG727" s="1432">
        <f t="shared" ref="CG727:CG760" si="39">IF(AND(AC727&lt;=0.5,AC727&gt;=0.36),1,0)</f>
        <v>0</v>
      </c>
      <c r="CH727" s="1434"/>
      <c r="CI727" s="1432">
        <f t="shared" ref="CI727:CI760" si="40">IF(CG727=1,G727,0)</f>
        <v>0</v>
      </c>
      <c r="CJ727" s="1434"/>
      <c r="CK727" s="1432">
        <f t="shared" si="18"/>
        <v>1</v>
      </c>
      <c r="CL727" s="1434"/>
      <c r="CM727" s="1432">
        <f t="shared" si="19"/>
        <v>7</v>
      </c>
      <c r="CN727" s="1434"/>
      <c r="CO727" s="3"/>
      <c r="CP727" s="1428">
        <f t="shared" si="20"/>
        <v>0</v>
      </c>
      <c r="CQ727" s="1429"/>
      <c r="CR727" s="1429"/>
      <c r="CS727" s="1429"/>
      <c r="CT727" s="1430"/>
      <c r="CU727" s="1426">
        <f t="shared" si="21"/>
        <v>7</v>
      </c>
      <c r="CV727" s="1426"/>
      <c r="CW727" s="1426"/>
      <c r="CX727" s="1426"/>
      <c r="CY727" s="1426"/>
      <c r="CZ727" s="1426">
        <f t="shared" si="22"/>
        <v>0</v>
      </c>
      <c r="DA727" s="1426"/>
      <c r="DB727" s="1426"/>
      <c r="DC727" s="1426"/>
      <c r="DD727" s="1426"/>
      <c r="DE727" s="1426">
        <f t="shared" si="23"/>
        <v>0</v>
      </c>
      <c r="DF727" s="1426"/>
      <c r="DG727" s="1426"/>
      <c r="DH727" s="1426"/>
      <c r="DI727" s="1426"/>
      <c r="DJ727" s="1426">
        <f t="shared" si="24"/>
        <v>0</v>
      </c>
      <c r="DK727" s="1426"/>
      <c r="DL727" s="1426"/>
      <c r="DM727" s="1426"/>
      <c r="DN727" s="1426"/>
      <c r="DO727" s="1426">
        <f t="shared" si="25"/>
        <v>0</v>
      </c>
      <c r="DP727" s="1426"/>
      <c r="DQ727" s="1426"/>
      <c r="DR727" s="1426"/>
      <c r="DS727" s="1426"/>
      <c r="DT727" s="257"/>
      <c r="DU727" s="1421">
        <f t="shared" si="26"/>
        <v>0</v>
      </c>
      <c r="DV727" s="1421"/>
      <c r="DW727" s="1421"/>
      <c r="DX727" s="1421"/>
      <c r="DY727" s="1421"/>
      <c r="DZ727" s="1421">
        <f t="shared" si="27"/>
        <v>7</v>
      </c>
      <c r="EA727" s="1421"/>
      <c r="EB727" s="1421"/>
      <c r="EC727" s="1421"/>
      <c r="ED727" s="1421"/>
      <c r="EE727" s="1421">
        <f t="shared" si="28"/>
        <v>0</v>
      </c>
      <c r="EF727" s="1421"/>
      <c r="EG727" s="1421"/>
      <c r="EH727" s="1421"/>
      <c r="EI727" s="1421"/>
      <c r="EJ727" s="1421">
        <f t="shared" si="29"/>
        <v>0</v>
      </c>
      <c r="EK727" s="1421"/>
      <c r="EL727" s="1421"/>
      <c r="EM727" s="1421"/>
      <c r="EN727" s="1421"/>
      <c r="EO727" s="1421">
        <f t="shared" si="30"/>
        <v>0</v>
      </c>
      <c r="EP727" s="1421"/>
      <c r="EQ727" s="1421"/>
      <c r="ER727" s="1421"/>
      <c r="ES727" s="1421"/>
      <c r="ET727" s="1421">
        <f t="shared" si="31"/>
        <v>0</v>
      </c>
      <c r="EU727" s="1421"/>
      <c r="EV727" s="1421"/>
      <c r="EW727" s="1421"/>
      <c r="EX727" s="1421"/>
      <c r="EY727" s="3"/>
      <c r="EZ727" s="1432" t="str">
        <f t="shared" si="32"/>
        <v/>
      </c>
      <c r="FA727" s="1433"/>
      <c r="FB727" s="1433"/>
      <c r="FC727" s="1433"/>
      <c r="FD727" s="1434"/>
      <c r="FE727" s="1432">
        <f t="shared" si="33"/>
        <v>795</v>
      </c>
      <c r="FF727" s="1433"/>
      <c r="FG727" s="1433"/>
      <c r="FH727" s="1433"/>
      <c r="FI727" s="1434"/>
      <c r="FJ727" s="1432" t="str">
        <f t="shared" si="34"/>
        <v/>
      </c>
      <c r="FK727" s="1433"/>
      <c r="FL727" s="1433"/>
      <c r="FM727" s="1433"/>
      <c r="FN727" s="1434"/>
      <c r="FO727" s="1432" t="str">
        <f t="shared" si="35"/>
        <v/>
      </c>
      <c r="FP727" s="1433"/>
      <c r="FQ727" s="1433"/>
      <c r="FR727" s="1433"/>
      <c r="FS727" s="1434"/>
      <c r="FT727" s="1432" t="str">
        <f t="shared" si="36"/>
        <v/>
      </c>
      <c r="FU727" s="1433"/>
      <c r="FV727" s="1433"/>
      <c r="FW727" s="1433"/>
      <c r="FX727" s="1434"/>
      <c r="FY727" s="1432" t="str">
        <f t="shared" si="37"/>
        <v/>
      </c>
      <c r="FZ727" s="1433"/>
      <c r="GA727" s="1433"/>
      <c r="GB727" s="1433"/>
      <c r="GC727" s="1434"/>
    </row>
    <row r="728" spans="1:185" ht="12.95" customHeight="1">
      <c r="A728" s="3"/>
      <c r="B728" s="1255" t="s">
        <v>847</v>
      </c>
      <c r="C728" s="1256"/>
      <c r="D728" s="1256"/>
      <c r="E728" s="1256"/>
      <c r="F728" s="1257"/>
      <c r="G728" s="1249">
        <v>17</v>
      </c>
      <c r="H728" s="1250"/>
      <c r="I728" s="1250"/>
      <c r="J728" s="1251"/>
      <c r="K728" s="1252">
        <v>607</v>
      </c>
      <c r="L728" s="1253"/>
      <c r="M728" s="1253"/>
      <c r="N728" s="1254"/>
      <c r="O728" s="1302">
        <v>1337</v>
      </c>
      <c r="P728" s="1303"/>
      <c r="Q728" s="1303"/>
      <c r="R728" s="1303"/>
      <c r="S728" s="1304"/>
      <c r="T728" s="1302">
        <v>18</v>
      </c>
      <c r="U728" s="1303"/>
      <c r="V728" s="1303"/>
      <c r="W728" s="1304"/>
      <c r="X728" s="1305">
        <f t="shared" si="10"/>
        <v>1355</v>
      </c>
      <c r="Y728" s="1300"/>
      <c r="Z728" s="1300"/>
      <c r="AA728" s="1300"/>
      <c r="AB728" s="1306"/>
      <c r="AC728" s="1307">
        <v>0.5</v>
      </c>
      <c r="AD728" s="1308"/>
      <c r="AE728" s="1308"/>
      <c r="AF728" s="1308"/>
      <c r="AG728" s="1309"/>
      <c r="AH728" s="1325">
        <f t="shared" si="38"/>
        <v>0.5</v>
      </c>
      <c r="AI728" s="1326"/>
      <c r="AJ728" s="1327"/>
      <c r="AK728" s="1255" t="s">
        <v>1502</v>
      </c>
      <c r="AL728" s="1256"/>
      <c r="AM728" s="1256"/>
      <c r="AN728" s="1256"/>
      <c r="AO728" s="1257"/>
      <c r="AP728" s="3"/>
      <c r="AQ728" s="3"/>
      <c r="AR728" s="3"/>
      <c r="AS728" s="3"/>
      <c r="AZ728" s="84">
        <f t="shared" si="11"/>
        <v>2710</v>
      </c>
      <c r="BA728" s="3"/>
      <c r="BB728" s="3"/>
      <c r="BC728" s="3"/>
      <c r="BD728" s="3"/>
      <c r="BE728" s="136"/>
      <c r="BF728" s="203">
        <f t="shared" si="12"/>
        <v>17</v>
      </c>
      <c r="BG728" s="206">
        <f t="shared" si="13"/>
        <v>0.17171717171717171</v>
      </c>
      <c r="BH728" s="207">
        <f t="shared" si="14"/>
        <v>8.5858585858585856E-2</v>
      </c>
      <c r="BI728" s="3"/>
      <c r="BJ728" s="3"/>
      <c r="BK728" s="3"/>
      <c r="BL728" s="3"/>
      <c r="BM728" s="3"/>
      <c r="BN728" s="3"/>
      <c r="BS728" s="203">
        <f t="shared" si="15"/>
        <v>17</v>
      </c>
      <c r="BT728" s="206">
        <f t="shared" si="16"/>
        <v>0.17171717171717171</v>
      </c>
      <c r="BU728" s="207">
        <f t="shared" si="17"/>
        <v>8.5858585858585856E-2</v>
      </c>
      <c r="CC728" s="3"/>
      <c r="CD728" s="3"/>
      <c r="CE728" s="3"/>
      <c r="CF728" s="3"/>
      <c r="CG728" s="1432">
        <f t="shared" si="39"/>
        <v>1</v>
      </c>
      <c r="CH728" s="1434"/>
      <c r="CI728" s="1432">
        <f t="shared" si="40"/>
        <v>17</v>
      </c>
      <c r="CJ728" s="1434"/>
      <c r="CK728" s="1432">
        <f t="shared" si="18"/>
        <v>0</v>
      </c>
      <c r="CL728" s="1434"/>
      <c r="CM728" s="1432">
        <f t="shared" si="19"/>
        <v>0</v>
      </c>
      <c r="CN728" s="1434"/>
      <c r="CO728" s="3"/>
      <c r="CP728" s="1428">
        <f t="shared" si="20"/>
        <v>0</v>
      </c>
      <c r="CQ728" s="1429"/>
      <c r="CR728" s="1429"/>
      <c r="CS728" s="1429"/>
      <c r="CT728" s="1430"/>
      <c r="CU728" s="1426">
        <f t="shared" si="21"/>
        <v>17</v>
      </c>
      <c r="CV728" s="1426"/>
      <c r="CW728" s="1426"/>
      <c r="CX728" s="1426"/>
      <c r="CY728" s="1426"/>
      <c r="CZ728" s="1426">
        <f t="shared" si="22"/>
        <v>0</v>
      </c>
      <c r="DA728" s="1426"/>
      <c r="DB728" s="1426"/>
      <c r="DC728" s="1426"/>
      <c r="DD728" s="1426"/>
      <c r="DE728" s="1426">
        <f t="shared" si="23"/>
        <v>0</v>
      </c>
      <c r="DF728" s="1426"/>
      <c r="DG728" s="1426"/>
      <c r="DH728" s="1426"/>
      <c r="DI728" s="1426"/>
      <c r="DJ728" s="1426">
        <f t="shared" si="24"/>
        <v>0</v>
      </c>
      <c r="DK728" s="1426"/>
      <c r="DL728" s="1426"/>
      <c r="DM728" s="1426"/>
      <c r="DN728" s="1426"/>
      <c r="DO728" s="1426">
        <f t="shared" si="25"/>
        <v>0</v>
      </c>
      <c r="DP728" s="1426"/>
      <c r="DQ728" s="1426"/>
      <c r="DR728" s="1426"/>
      <c r="DS728" s="1426"/>
      <c r="DT728" s="257"/>
      <c r="DU728" s="1421">
        <f t="shared" si="26"/>
        <v>0</v>
      </c>
      <c r="DV728" s="1421"/>
      <c r="DW728" s="1421"/>
      <c r="DX728" s="1421"/>
      <c r="DY728" s="1421"/>
      <c r="DZ728" s="1421">
        <f t="shared" si="27"/>
        <v>0</v>
      </c>
      <c r="EA728" s="1421"/>
      <c r="EB728" s="1421"/>
      <c r="EC728" s="1421"/>
      <c r="ED728" s="1421"/>
      <c r="EE728" s="1421">
        <f t="shared" si="28"/>
        <v>0</v>
      </c>
      <c r="EF728" s="1421"/>
      <c r="EG728" s="1421"/>
      <c r="EH728" s="1421"/>
      <c r="EI728" s="1421"/>
      <c r="EJ728" s="1421">
        <f t="shared" si="29"/>
        <v>0</v>
      </c>
      <c r="EK728" s="1421"/>
      <c r="EL728" s="1421"/>
      <c r="EM728" s="1421"/>
      <c r="EN728" s="1421"/>
      <c r="EO728" s="1421">
        <f t="shared" si="30"/>
        <v>0</v>
      </c>
      <c r="EP728" s="1421"/>
      <c r="EQ728" s="1421"/>
      <c r="ER728" s="1421"/>
      <c r="ES728" s="1421"/>
      <c r="ET728" s="1421">
        <f t="shared" si="31"/>
        <v>0</v>
      </c>
      <c r="EU728" s="1421"/>
      <c r="EV728" s="1421"/>
      <c r="EW728" s="1421"/>
      <c r="EX728" s="1421"/>
      <c r="EZ728" s="1432" t="str">
        <f t="shared" si="32"/>
        <v/>
      </c>
      <c r="FA728" s="1433"/>
      <c r="FB728" s="1433"/>
      <c r="FC728" s="1433"/>
      <c r="FD728" s="1434"/>
      <c r="FE728" s="1432">
        <f t="shared" si="33"/>
        <v>1337</v>
      </c>
      <c r="FF728" s="1433"/>
      <c r="FG728" s="1433"/>
      <c r="FH728" s="1433"/>
      <c r="FI728" s="1434"/>
      <c r="FJ728" s="1432" t="str">
        <f t="shared" si="34"/>
        <v/>
      </c>
      <c r="FK728" s="1433"/>
      <c r="FL728" s="1433"/>
      <c r="FM728" s="1433"/>
      <c r="FN728" s="1434"/>
      <c r="FO728" s="1432" t="str">
        <f t="shared" si="35"/>
        <v/>
      </c>
      <c r="FP728" s="1433"/>
      <c r="FQ728" s="1433"/>
      <c r="FR728" s="1433"/>
      <c r="FS728" s="1434"/>
      <c r="FT728" s="1432" t="str">
        <f t="shared" si="36"/>
        <v/>
      </c>
      <c r="FU728" s="1433"/>
      <c r="FV728" s="1433"/>
      <c r="FW728" s="1433"/>
      <c r="FX728" s="1434"/>
      <c r="FY728" s="1432" t="str">
        <f t="shared" si="37"/>
        <v/>
      </c>
      <c r="FZ728" s="1433"/>
      <c r="GA728" s="1433"/>
      <c r="GB728" s="1433"/>
      <c r="GC728" s="1434"/>
    </row>
    <row r="729" spans="1:185" ht="12.95" customHeight="1">
      <c r="B729" s="1255" t="s">
        <v>848</v>
      </c>
      <c r="C729" s="1256"/>
      <c r="D729" s="1256"/>
      <c r="E729" s="1256"/>
      <c r="F729" s="1257"/>
      <c r="G729" s="1249">
        <v>13</v>
      </c>
      <c r="H729" s="1250"/>
      <c r="I729" s="1250"/>
      <c r="J729" s="1251"/>
      <c r="K729" s="1252">
        <v>788</v>
      </c>
      <c r="L729" s="1253"/>
      <c r="M729" s="1253"/>
      <c r="N729" s="1254"/>
      <c r="O729" s="1302">
        <v>955</v>
      </c>
      <c r="P729" s="1303"/>
      <c r="Q729" s="1303"/>
      <c r="R729" s="1303"/>
      <c r="S729" s="1304"/>
      <c r="T729" s="1302">
        <v>21</v>
      </c>
      <c r="U729" s="1303"/>
      <c r="V729" s="1303"/>
      <c r="W729" s="1304"/>
      <c r="X729" s="1305">
        <f t="shared" si="10"/>
        <v>976</v>
      </c>
      <c r="Y729" s="1300"/>
      <c r="Z729" s="1300"/>
      <c r="AA729" s="1300"/>
      <c r="AB729" s="1306"/>
      <c r="AC729" s="1307">
        <v>0.3</v>
      </c>
      <c r="AD729" s="1308"/>
      <c r="AE729" s="1308"/>
      <c r="AF729" s="1308"/>
      <c r="AG729" s="1309"/>
      <c r="AH729" s="1325">
        <f t="shared" si="38"/>
        <v>0.29993853718500307</v>
      </c>
      <c r="AI729" s="1326"/>
      <c r="AJ729" s="1327"/>
      <c r="AK729" s="1255" t="s">
        <v>826</v>
      </c>
      <c r="AL729" s="1256"/>
      <c r="AM729" s="1256"/>
      <c r="AN729" s="1256"/>
      <c r="AO729" s="1257"/>
      <c r="AP729" s="3"/>
      <c r="AQ729" s="3"/>
      <c r="AR729" s="3"/>
      <c r="AS729" s="3"/>
      <c r="AY729" s="85"/>
      <c r="AZ729" s="84">
        <f t="shared" si="11"/>
        <v>3254</v>
      </c>
      <c r="BA729" s="3"/>
      <c r="BB729" s="3"/>
      <c r="BC729" s="3"/>
      <c r="BD729" s="3"/>
      <c r="BE729" s="136"/>
      <c r="BF729" s="203">
        <f t="shared" si="12"/>
        <v>13</v>
      </c>
      <c r="BG729" s="206">
        <f t="shared" si="13"/>
        <v>0.13131313131313133</v>
      </c>
      <c r="BH729" s="207">
        <f t="shared" si="14"/>
        <v>3.9393939393939398E-2</v>
      </c>
      <c r="BI729" s="3"/>
      <c r="BJ729" s="3"/>
      <c r="BK729" s="3"/>
      <c r="BL729" s="3"/>
      <c r="BM729" s="3"/>
      <c r="BN729" s="3"/>
      <c r="BS729" s="203">
        <f t="shared" si="15"/>
        <v>13</v>
      </c>
      <c r="BT729" s="206">
        <f t="shared" si="16"/>
        <v>0.13131313131313133</v>
      </c>
      <c r="BU729" s="207">
        <f t="shared" si="17"/>
        <v>3.9385868519242834E-2</v>
      </c>
      <c r="CC729" s="3"/>
      <c r="CD729" s="3"/>
      <c r="CE729" s="3"/>
      <c r="CF729" s="3"/>
      <c r="CG729" s="1432">
        <f t="shared" si="39"/>
        <v>0</v>
      </c>
      <c r="CH729" s="1434"/>
      <c r="CI729" s="1432">
        <f t="shared" si="40"/>
        <v>0</v>
      </c>
      <c r="CJ729" s="1434"/>
      <c r="CK729" s="1432">
        <f t="shared" si="18"/>
        <v>1</v>
      </c>
      <c r="CL729" s="1434"/>
      <c r="CM729" s="1432">
        <f t="shared" si="19"/>
        <v>13</v>
      </c>
      <c r="CN729" s="1434"/>
      <c r="CO729" s="3"/>
      <c r="CP729" s="1428">
        <f t="shared" si="20"/>
        <v>0</v>
      </c>
      <c r="CQ729" s="1429"/>
      <c r="CR729" s="1429"/>
      <c r="CS729" s="1429"/>
      <c r="CT729" s="1430"/>
      <c r="CU729" s="1426">
        <f t="shared" si="21"/>
        <v>0</v>
      </c>
      <c r="CV729" s="1426"/>
      <c r="CW729" s="1426"/>
      <c r="CX729" s="1426"/>
      <c r="CY729" s="1426"/>
      <c r="CZ729" s="1426">
        <f t="shared" si="22"/>
        <v>13</v>
      </c>
      <c r="DA729" s="1426"/>
      <c r="DB729" s="1426"/>
      <c r="DC729" s="1426"/>
      <c r="DD729" s="1426"/>
      <c r="DE729" s="1426">
        <f t="shared" si="23"/>
        <v>0</v>
      </c>
      <c r="DF729" s="1426"/>
      <c r="DG729" s="1426"/>
      <c r="DH729" s="1426"/>
      <c r="DI729" s="1426"/>
      <c r="DJ729" s="1426">
        <f t="shared" si="24"/>
        <v>0</v>
      </c>
      <c r="DK729" s="1426"/>
      <c r="DL729" s="1426"/>
      <c r="DM729" s="1426"/>
      <c r="DN729" s="1426"/>
      <c r="DO729" s="1426">
        <f t="shared" si="25"/>
        <v>0</v>
      </c>
      <c r="DP729" s="1426"/>
      <c r="DQ729" s="1426"/>
      <c r="DR729" s="1426"/>
      <c r="DS729" s="1426"/>
      <c r="DT729" s="257"/>
      <c r="DU729" s="1421">
        <f t="shared" si="26"/>
        <v>0</v>
      </c>
      <c r="DV729" s="1421"/>
      <c r="DW729" s="1421"/>
      <c r="DX729" s="1421"/>
      <c r="DY729" s="1421"/>
      <c r="DZ729" s="1421">
        <f t="shared" si="27"/>
        <v>0</v>
      </c>
      <c r="EA729" s="1421"/>
      <c r="EB729" s="1421"/>
      <c r="EC729" s="1421"/>
      <c r="ED729" s="1421"/>
      <c r="EE729" s="1421">
        <f t="shared" si="28"/>
        <v>13</v>
      </c>
      <c r="EF729" s="1421"/>
      <c r="EG729" s="1421"/>
      <c r="EH729" s="1421"/>
      <c r="EI729" s="1421"/>
      <c r="EJ729" s="1421">
        <f t="shared" si="29"/>
        <v>0</v>
      </c>
      <c r="EK729" s="1421"/>
      <c r="EL729" s="1421"/>
      <c r="EM729" s="1421"/>
      <c r="EN729" s="1421"/>
      <c r="EO729" s="1421">
        <f t="shared" si="30"/>
        <v>0</v>
      </c>
      <c r="EP729" s="1421"/>
      <c r="EQ729" s="1421"/>
      <c r="ER729" s="1421"/>
      <c r="ES729" s="1421"/>
      <c r="ET729" s="1421">
        <f t="shared" si="31"/>
        <v>0</v>
      </c>
      <c r="EU729" s="1421"/>
      <c r="EV729" s="1421"/>
      <c r="EW729" s="1421"/>
      <c r="EX729" s="1421"/>
      <c r="EZ729" s="1432" t="str">
        <f t="shared" si="32"/>
        <v/>
      </c>
      <c r="FA729" s="1433"/>
      <c r="FB729" s="1433"/>
      <c r="FC729" s="1433"/>
      <c r="FD729" s="1434"/>
      <c r="FE729" s="1432" t="str">
        <f t="shared" si="33"/>
        <v/>
      </c>
      <c r="FF729" s="1433"/>
      <c r="FG729" s="1433"/>
      <c r="FH729" s="1433"/>
      <c r="FI729" s="1434"/>
      <c r="FJ729" s="1432">
        <f t="shared" si="34"/>
        <v>955</v>
      </c>
      <c r="FK729" s="1433"/>
      <c r="FL729" s="1433"/>
      <c r="FM729" s="1433"/>
      <c r="FN729" s="1434"/>
      <c r="FO729" s="1432" t="str">
        <f t="shared" si="35"/>
        <v/>
      </c>
      <c r="FP729" s="1433"/>
      <c r="FQ729" s="1433"/>
      <c r="FR729" s="1433"/>
      <c r="FS729" s="1434"/>
      <c r="FT729" s="1432" t="str">
        <f t="shared" si="36"/>
        <v/>
      </c>
      <c r="FU729" s="1433"/>
      <c r="FV729" s="1433"/>
      <c r="FW729" s="1433"/>
      <c r="FX729" s="1434"/>
      <c r="FY729" s="1432" t="str">
        <f t="shared" si="37"/>
        <v/>
      </c>
      <c r="FZ729" s="1433"/>
      <c r="GA729" s="1433"/>
      <c r="GB729" s="1433"/>
      <c r="GC729" s="1434"/>
    </row>
    <row r="730" spans="1:185" ht="12.95" customHeight="1">
      <c r="B730" s="1255" t="s">
        <v>848</v>
      </c>
      <c r="C730" s="1256"/>
      <c r="D730" s="1256"/>
      <c r="E730" s="1256"/>
      <c r="F730" s="1257"/>
      <c r="G730" s="1249">
        <v>2</v>
      </c>
      <c r="H730" s="1250"/>
      <c r="I730" s="1250"/>
      <c r="J730" s="1251"/>
      <c r="K730" s="1252">
        <v>788</v>
      </c>
      <c r="L730" s="1253"/>
      <c r="M730" s="1253"/>
      <c r="N730" s="1254"/>
      <c r="O730" s="1302">
        <v>1606</v>
      </c>
      <c r="P730" s="1303"/>
      <c r="Q730" s="1303"/>
      <c r="R730" s="1303"/>
      <c r="S730" s="1304"/>
      <c r="T730" s="1302">
        <v>21</v>
      </c>
      <c r="U730" s="1303"/>
      <c r="V730" s="1303"/>
      <c r="W730" s="1304"/>
      <c r="X730" s="1305">
        <f t="shared" si="10"/>
        <v>1627</v>
      </c>
      <c r="Y730" s="1300"/>
      <c r="Z730" s="1300"/>
      <c r="AA730" s="1300"/>
      <c r="AB730" s="1306"/>
      <c r="AC730" s="1307">
        <v>0.5</v>
      </c>
      <c r="AD730" s="1308"/>
      <c r="AE730" s="1308"/>
      <c r="AF730" s="1308"/>
      <c r="AG730" s="1309"/>
      <c r="AH730" s="1325">
        <f t="shared" si="38"/>
        <v>0.5</v>
      </c>
      <c r="AI730" s="1326"/>
      <c r="AJ730" s="1327"/>
      <c r="AK730" s="1255" t="s">
        <v>826</v>
      </c>
      <c r="AL730" s="1256"/>
      <c r="AM730" s="1256"/>
      <c r="AN730" s="1256"/>
      <c r="AO730" s="1257"/>
      <c r="AP730" s="3"/>
      <c r="AQ730" s="3"/>
      <c r="AR730" s="3"/>
      <c r="AS730" s="3"/>
      <c r="AY730" s="85"/>
      <c r="AZ730" s="84">
        <f t="shared" si="11"/>
        <v>3254</v>
      </c>
      <c r="BA730" s="3"/>
      <c r="BB730" s="3"/>
      <c r="BC730" s="3"/>
      <c r="BD730" s="3"/>
      <c r="BE730" s="136"/>
      <c r="BF730" s="203">
        <f t="shared" si="12"/>
        <v>2</v>
      </c>
      <c r="BG730" s="206">
        <f t="shared" si="13"/>
        <v>2.0202020202020204E-2</v>
      </c>
      <c r="BH730" s="207">
        <f t="shared" si="14"/>
        <v>1.0101010101010102E-2</v>
      </c>
      <c r="BI730" s="3"/>
      <c r="BJ730" s="3"/>
      <c r="BK730" s="3"/>
      <c r="BL730" s="3"/>
      <c r="BM730" s="3"/>
      <c r="BN730" s="3"/>
      <c r="BS730" s="203">
        <f t="shared" si="15"/>
        <v>2</v>
      </c>
      <c r="BT730" s="206">
        <f t="shared" si="16"/>
        <v>2.0202020202020204E-2</v>
      </c>
      <c r="BU730" s="207">
        <f t="shared" si="17"/>
        <v>1.0101010101010102E-2</v>
      </c>
      <c r="CC730" s="3"/>
      <c r="CD730" s="3"/>
      <c r="CE730" s="3"/>
      <c r="CF730" s="3"/>
      <c r="CG730" s="1432">
        <f t="shared" si="39"/>
        <v>1</v>
      </c>
      <c r="CH730" s="1434"/>
      <c r="CI730" s="1432">
        <f t="shared" si="40"/>
        <v>2</v>
      </c>
      <c r="CJ730" s="1434"/>
      <c r="CK730" s="1432">
        <f t="shared" si="18"/>
        <v>0</v>
      </c>
      <c r="CL730" s="1434"/>
      <c r="CM730" s="1432">
        <f t="shared" si="19"/>
        <v>0</v>
      </c>
      <c r="CN730" s="1434"/>
      <c r="CO730" s="3"/>
      <c r="CP730" s="1428">
        <f t="shared" si="20"/>
        <v>0</v>
      </c>
      <c r="CQ730" s="1429"/>
      <c r="CR730" s="1429"/>
      <c r="CS730" s="1429"/>
      <c r="CT730" s="1430"/>
      <c r="CU730" s="1426">
        <f t="shared" si="21"/>
        <v>0</v>
      </c>
      <c r="CV730" s="1426"/>
      <c r="CW730" s="1426"/>
      <c r="CX730" s="1426"/>
      <c r="CY730" s="1426"/>
      <c r="CZ730" s="1426">
        <f t="shared" si="22"/>
        <v>2</v>
      </c>
      <c r="DA730" s="1426"/>
      <c r="DB730" s="1426"/>
      <c r="DC730" s="1426"/>
      <c r="DD730" s="1426"/>
      <c r="DE730" s="1426">
        <f t="shared" si="23"/>
        <v>0</v>
      </c>
      <c r="DF730" s="1426"/>
      <c r="DG730" s="1426"/>
      <c r="DH730" s="1426"/>
      <c r="DI730" s="1426"/>
      <c r="DJ730" s="1426">
        <f t="shared" si="24"/>
        <v>0</v>
      </c>
      <c r="DK730" s="1426"/>
      <c r="DL730" s="1426"/>
      <c r="DM730" s="1426"/>
      <c r="DN730" s="1426"/>
      <c r="DO730" s="1426">
        <f t="shared" si="25"/>
        <v>0</v>
      </c>
      <c r="DP730" s="1426"/>
      <c r="DQ730" s="1426"/>
      <c r="DR730" s="1426"/>
      <c r="DS730" s="1426"/>
      <c r="DT730" s="257"/>
      <c r="DU730" s="1421">
        <f t="shared" si="26"/>
        <v>0</v>
      </c>
      <c r="DV730" s="1421"/>
      <c r="DW730" s="1421"/>
      <c r="DX730" s="1421"/>
      <c r="DY730" s="1421"/>
      <c r="DZ730" s="1421">
        <f t="shared" si="27"/>
        <v>0</v>
      </c>
      <c r="EA730" s="1421"/>
      <c r="EB730" s="1421"/>
      <c r="EC730" s="1421"/>
      <c r="ED730" s="1421"/>
      <c r="EE730" s="1421">
        <f t="shared" si="28"/>
        <v>0</v>
      </c>
      <c r="EF730" s="1421"/>
      <c r="EG730" s="1421"/>
      <c r="EH730" s="1421"/>
      <c r="EI730" s="1421"/>
      <c r="EJ730" s="1421">
        <f t="shared" si="29"/>
        <v>0</v>
      </c>
      <c r="EK730" s="1421"/>
      <c r="EL730" s="1421"/>
      <c r="EM730" s="1421"/>
      <c r="EN730" s="1421"/>
      <c r="EO730" s="1421">
        <f t="shared" si="30"/>
        <v>0</v>
      </c>
      <c r="EP730" s="1421"/>
      <c r="EQ730" s="1421"/>
      <c r="ER730" s="1421"/>
      <c r="ES730" s="1421"/>
      <c r="ET730" s="1421">
        <f t="shared" si="31"/>
        <v>0</v>
      </c>
      <c r="EU730" s="1421"/>
      <c r="EV730" s="1421"/>
      <c r="EW730" s="1421"/>
      <c r="EX730" s="1421"/>
      <c r="EZ730" s="1432" t="str">
        <f t="shared" si="32"/>
        <v/>
      </c>
      <c r="FA730" s="1433"/>
      <c r="FB730" s="1433"/>
      <c r="FC730" s="1433"/>
      <c r="FD730" s="1434"/>
      <c r="FE730" s="1432" t="str">
        <f t="shared" si="33"/>
        <v/>
      </c>
      <c r="FF730" s="1433"/>
      <c r="FG730" s="1433"/>
      <c r="FH730" s="1433"/>
      <c r="FI730" s="1434"/>
      <c r="FJ730" s="1432">
        <f t="shared" si="34"/>
        <v>1606</v>
      </c>
      <c r="FK730" s="1433"/>
      <c r="FL730" s="1433"/>
      <c r="FM730" s="1433"/>
      <c r="FN730" s="1434"/>
      <c r="FO730" s="1432" t="str">
        <f t="shared" si="35"/>
        <v/>
      </c>
      <c r="FP730" s="1433"/>
      <c r="FQ730" s="1433"/>
      <c r="FR730" s="1433"/>
      <c r="FS730" s="1434"/>
      <c r="FT730" s="1432" t="str">
        <f t="shared" si="36"/>
        <v/>
      </c>
      <c r="FU730" s="1433"/>
      <c r="FV730" s="1433"/>
      <c r="FW730" s="1433"/>
      <c r="FX730" s="1434"/>
      <c r="FY730" s="1432" t="str">
        <f t="shared" si="37"/>
        <v/>
      </c>
      <c r="FZ730" s="1433"/>
      <c r="GA730" s="1433"/>
      <c r="GB730" s="1433"/>
      <c r="GC730" s="1434"/>
    </row>
    <row r="731" spans="1:185" ht="12.95" customHeight="1">
      <c r="B731" s="1255" t="s">
        <v>848</v>
      </c>
      <c r="C731" s="1256"/>
      <c r="D731" s="1256"/>
      <c r="E731" s="1256"/>
      <c r="F731" s="1257"/>
      <c r="G731" s="1249">
        <v>7</v>
      </c>
      <c r="H731" s="1250"/>
      <c r="I731" s="1250"/>
      <c r="J731" s="1251"/>
      <c r="K731" s="1252">
        <v>788</v>
      </c>
      <c r="L731" s="1253"/>
      <c r="M731" s="1253"/>
      <c r="N731" s="1254"/>
      <c r="O731" s="1302">
        <v>1932</v>
      </c>
      <c r="P731" s="1303"/>
      <c r="Q731" s="1303"/>
      <c r="R731" s="1303"/>
      <c r="S731" s="1304"/>
      <c r="T731" s="1302">
        <v>21</v>
      </c>
      <c r="U731" s="1303"/>
      <c r="V731" s="1303"/>
      <c r="W731" s="1304"/>
      <c r="X731" s="1305">
        <f t="shared" si="10"/>
        <v>1953</v>
      </c>
      <c r="Y731" s="1300"/>
      <c r="Z731" s="1300"/>
      <c r="AA731" s="1300"/>
      <c r="AB731" s="1306"/>
      <c r="AC731" s="1307">
        <v>0.6</v>
      </c>
      <c r="AD731" s="1308"/>
      <c r="AE731" s="1308"/>
      <c r="AF731" s="1308"/>
      <c r="AG731" s="1309"/>
      <c r="AH731" s="1325">
        <f t="shared" si="38"/>
        <v>0.60018438844499078</v>
      </c>
      <c r="AI731" s="1326"/>
      <c r="AJ731" s="1327"/>
      <c r="AK731" s="1255" t="s">
        <v>826</v>
      </c>
      <c r="AL731" s="1256"/>
      <c r="AM731" s="1256"/>
      <c r="AN731" s="1256"/>
      <c r="AO731" s="1257"/>
      <c r="AP731" s="3"/>
      <c r="AQ731" s="3"/>
      <c r="AR731" s="3"/>
      <c r="AS731" s="3"/>
      <c r="AY731" s="85"/>
      <c r="AZ731" s="84">
        <f t="shared" si="11"/>
        <v>3254</v>
      </c>
      <c r="BA731" s="3"/>
      <c r="BB731" s="3"/>
      <c r="BC731" s="3"/>
      <c r="BD731" s="3"/>
      <c r="BE731" s="136"/>
      <c r="BF731" s="203">
        <f t="shared" si="12"/>
        <v>7</v>
      </c>
      <c r="BG731" s="206">
        <f t="shared" si="13"/>
        <v>7.0707070707070704E-2</v>
      </c>
      <c r="BH731" s="207">
        <f t="shared" si="14"/>
        <v>4.242424242424242E-2</v>
      </c>
      <c r="BI731" s="3"/>
      <c r="BJ731" s="3"/>
      <c r="BK731" s="3"/>
      <c r="BL731" s="3"/>
      <c r="BM731" s="3"/>
      <c r="BN731" s="3"/>
      <c r="BS731" s="203">
        <f t="shared" si="15"/>
        <v>7</v>
      </c>
      <c r="BT731" s="206">
        <f t="shared" si="16"/>
        <v>7.0707070707070704E-2</v>
      </c>
      <c r="BU731" s="207">
        <f t="shared" si="17"/>
        <v>4.2437279991059951E-2</v>
      </c>
      <c r="CC731" s="3"/>
      <c r="CD731" s="3"/>
      <c r="CE731" s="3"/>
      <c r="CF731" s="3"/>
      <c r="CG731" s="1432">
        <f t="shared" si="39"/>
        <v>0</v>
      </c>
      <c r="CH731" s="1434"/>
      <c r="CI731" s="1432">
        <f t="shared" si="40"/>
        <v>0</v>
      </c>
      <c r="CJ731" s="1434"/>
      <c r="CK731" s="1432">
        <f t="shared" si="18"/>
        <v>0</v>
      </c>
      <c r="CL731" s="1434"/>
      <c r="CM731" s="1432">
        <f t="shared" si="19"/>
        <v>0</v>
      </c>
      <c r="CN731" s="1434"/>
      <c r="CO731" s="3"/>
      <c r="CP731" s="1428">
        <f t="shared" si="20"/>
        <v>0</v>
      </c>
      <c r="CQ731" s="1429"/>
      <c r="CR731" s="1429"/>
      <c r="CS731" s="1429"/>
      <c r="CT731" s="1430"/>
      <c r="CU731" s="1426">
        <f t="shared" si="21"/>
        <v>0</v>
      </c>
      <c r="CV731" s="1426"/>
      <c r="CW731" s="1426"/>
      <c r="CX731" s="1426"/>
      <c r="CY731" s="1426"/>
      <c r="CZ731" s="1426">
        <f t="shared" si="22"/>
        <v>7</v>
      </c>
      <c r="DA731" s="1426"/>
      <c r="DB731" s="1426"/>
      <c r="DC731" s="1426"/>
      <c r="DD731" s="1426"/>
      <c r="DE731" s="1426">
        <f t="shared" si="23"/>
        <v>0</v>
      </c>
      <c r="DF731" s="1426"/>
      <c r="DG731" s="1426"/>
      <c r="DH731" s="1426"/>
      <c r="DI731" s="1426"/>
      <c r="DJ731" s="1426">
        <f t="shared" si="24"/>
        <v>0</v>
      </c>
      <c r="DK731" s="1426"/>
      <c r="DL731" s="1426"/>
      <c r="DM731" s="1426"/>
      <c r="DN731" s="1426"/>
      <c r="DO731" s="1426">
        <f t="shared" si="25"/>
        <v>0</v>
      </c>
      <c r="DP731" s="1426"/>
      <c r="DQ731" s="1426"/>
      <c r="DR731" s="1426"/>
      <c r="DS731" s="1426"/>
      <c r="DT731" s="257"/>
      <c r="DU731" s="1421">
        <f t="shared" si="26"/>
        <v>0</v>
      </c>
      <c r="DV731" s="1421"/>
      <c r="DW731" s="1421"/>
      <c r="DX731" s="1421"/>
      <c r="DY731" s="1421"/>
      <c r="DZ731" s="1421">
        <f t="shared" si="27"/>
        <v>0</v>
      </c>
      <c r="EA731" s="1421"/>
      <c r="EB731" s="1421"/>
      <c r="EC731" s="1421"/>
      <c r="ED731" s="1421"/>
      <c r="EE731" s="1421">
        <f t="shared" si="28"/>
        <v>0</v>
      </c>
      <c r="EF731" s="1421"/>
      <c r="EG731" s="1421"/>
      <c r="EH731" s="1421"/>
      <c r="EI731" s="1421"/>
      <c r="EJ731" s="1421">
        <f t="shared" si="29"/>
        <v>0</v>
      </c>
      <c r="EK731" s="1421"/>
      <c r="EL731" s="1421"/>
      <c r="EM731" s="1421"/>
      <c r="EN731" s="1421"/>
      <c r="EO731" s="1421">
        <f t="shared" si="30"/>
        <v>0</v>
      </c>
      <c r="EP731" s="1421"/>
      <c r="EQ731" s="1421"/>
      <c r="ER731" s="1421"/>
      <c r="ES731" s="1421"/>
      <c r="ET731" s="1421">
        <f t="shared" si="31"/>
        <v>0</v>
      </c>
      <c r="EU731" s="1421"/>
      <c r="EV731" s="1421"/>
      <c r="EW731" s="1421"/>
      <c r="EX731" s="1421"/>
      <c r="EZ731" s="1432" t="str">
        <f t="shared" si="32"/>
        <v/>
      </c>
      <c r="FA731" s="1433"/>
      <c r="FB731" s="1433"/>
      <c r="FC731" s="1433"/>
      <c r="FD731" s="1434"/>
      <c r="FE731" s="1432" t="str">
        <f t="shared" si="33"/>
        <v/>
      </c>
      <c r="FF731" s="1433"/>
      <c r="FG731" s="1433"/>
      <c r="FH731" s="1433"/>
      <c r="FI731" s="1434"/>
      <c r="FJ731" s="1432">
        <f t="shared" si="34"/>
        <v>1932</v>
      </c>
      <c r="FK731" s="1433"/>
      <c r="FL731" s="1433"/>
      <c r="FM731" s="1433"/>
      <c r="FN731" s="1434"/>
      <c r="FO731" s="1432" t="str">
        <f t="shared" si="35"/>
        <v/>
      </c>
      <c r="FP731" s="1433"/>
      <c r="FQ731" s="1433"/>
      <c r="FR731" s="1433"/>
      <c r="FS731" s="1434"/>
      <c r="FT731" s="1432" t="str">
        <f t="shared" si="36"/>
        <v/>
      </c>
      <c r="FU731" s="1433"/>
      <c r="FV731" s="1433"/>
      <c r="FW731" s="1433"/>
      <c r="FX731" s="1434"/>
      <c r="FY731" s="1432" t="str">
        <f t="shared" si="37"/>
        <v/>
      </c>
      <c r="FZ731" s="1433"/>
      <c r="GA731" s="1433"/>
      <c r="GB731" s="1433"/>
      <c r="GC731" s="1434"/>
    </row>
    <row r="732" spans="1:185" ht="12.95" customHeight="1">
      <c r="B732" s="1255" t="s">
        <v>848</v>
      </c>
      <c r="C732" s="1256"/>
      <c r="D732" s="1256"/>
      <c r="E732" s="1256"/>
      <c r="F732" s="1257"/>
      <c r="G732" s="1249">
        <v>7</v>
      </c>
      <c r="H732" s="1250"/>
      <c r="I732" s="1250"/>
      <c r="J732" s="1251"/>
      <c r="K732" s="1252">
        <v>788</v>
      </c>
      <c r="L732" s="1253"/>
      <c r="M732" s="1253"/>
      <c r="N732" s="1254"/>
      <c r="O732" s="1302">
        <v>2257</v>
      </c>
      <c r="P732" s="1303"/>
      <c r="Q732" s="1303"/>
      <c r="R732" s="1303"/>
      <c r="S732" s="1304"/>
      <c r="T732" s="1302">
        <v>21</v>
      </c>
      <c r="U732" s="1303"/>
      <c r="V732" s="1303"/>
      <c r="W732" s="1304"/>
      <c r="X732" s="1305">
        <f t="shared" si="10"/>
        <v>2278</v>
      </c>
      <c r="Y732" s="1300"/>
      <c r="Z732" s="1300"/>
      <c r="AA732" s="1300"/>
      <c r="AB732" s="1306"/>
      <c r="AC732" s="1307">
        <v>0.7</v>
      </c>
      <c r="AD732" s="1308"/>
      <c r="AE732" s="1308"/>
      <c r="AF732" s="1308"/>
      <c r="AG732" s="1309"/>
      <c r="AH732" s="1325">
        <f t="shared" si="38"/>
        <v>0.70006146281499693</v>
      </c>
      <c r="AI732" s="1326"/>
      <c r="AJ732" s="1327"/>
      <c r="AK732" s="1255" t="s">
        <v>826</v>
      </c>
      <c r="AL732" s="1256"/>
      <c r="AM732" s="1256"/>
      <c r="AN732" s="1256"/>
      <c r="AO732" s="1257"/>
      <c r="AP732" s="3"/>
      <c r="AQ732" s="3"/>
      <c r="AR732" s="3"/>
      <c r="AS732" s="3"/>
      <c r="AY732" s="85"/>
      <c r="AZ732" s="84">
        <f t="shared" si="11"/>
        <v>3254</v>
      </c>
      <c r="BA732" s="3"/>
      <c r="BB732" s="3"/>
      <c r="BC732" s="3"/>
      <c r="BD732" s="3"/>
      <c r="BE732" s="136"/>
      <c r="BF732" s="203">
        <f t="shared" si="12"/>
        <v>7</v>
      </c>
      <c r="BG732" s="206">
        <f t="shared" si="13"/>
        <v>7.0707070707070704E-2</v>
      </c>
      <c r="BH732" s="207">
        <f t="shared" si="14"/>
        <v>4.9494949494949488E-2</v>
      </c>
      <c r="BI732" s="3"/>
      <c r="BJ732" s="3"/>
      <c r="BK732" s="3"/>
      <c r="BL732" s="3"/>
      <c r="BM732" s="3"/>
      <c r="BN732" s="3"/>
      <c r="BS732" s="203">
        <f t="shared" si="15"/>
        <v>7</v>
      </c>
      <c r="BT732" s="206">
        <f t="shared" si="16"/>
        <v>7.0707070707070704E-2</v>
      </c>
      <c r="BU732" s="207">
        <f t="shared" si="17"/>
        <v>4.9499295350555333E-2</v>
      </c>
      <c r="CC732" s="3"/>
      <c r="CE732" s="3"/>
      <c r="CF732" s="3"/>
      <c r="CG732" s="1432">
        <f t="shared" si="39"/>
        <v>0</v>
      </c>
      <c r="CH732" s="1434"/>
      <c r="CI732" s="1432">
        <f t="shared" si="40"/>
        <v>0</v>
      </c>
      <c r="CJ732" s="1434"/>
      <c r="CK732" s="1432">
        <f t="shared" si="18"/>
        <v>0</v>
      </c>
      <c r="CL732" s="1434"/>
      <c r="CM732" s="1432">
        <f t="shared" si="19"/>
        <v>0</v>
      </c>
      <c r="CN732" s="1434"/>
      <c r="CO732" s="3"/>
      <c r="CP732" s="1428">
        <f t="shared" si="20"/>
        <v>0</v>
      </c>
      <c r="CQ732" s="1429"/>
      <c r="CR732" s="1429"/>
      <c r="CS732" s="1429"/>
      <c r="CT732" s="1430"/>
      <c r="CU732" s="1426">
        <f t="shared" si="21"/>
        <v>0</v>
      </c>
      <c r="CV732" s="1426"/>
      <c r="CW732" s="1426"/>
      <c r="CX732" s="1426"/>
      <c r="CY732" s="1426"/>
      <c r="CZ732" s="1426">
        <f t="shared" si="22"/>
        <v>7</v>
      </c>
      <c r="DA732" s="1426"/>
      <c r="DB732" s="1426"/>
      <c r="DC732" s="1426"/>
      <c r="DD732" s="1426"/>
      <c r="DE732" s="1426">
        <f t="shared" si="23"/>
        <v>0</v>
      </c>
      <c r="DF732" s="1426"/>
      <c r="DG732" s="1426"/>
      <c r="DH732" s="1426"/>
      <c r="DI732" s="1426"/>
      <c r="DJ732" s="1426">
        <f t="shared" si="24"/>
        <v>0</v>
      </c>
      <c r="DK732" s="1426"/>
      <c r="DL732" s="1426"/>
      <c r="DM732" s="1426"/>
      <c r="DN732" s="1426"/>
      <c r="DO732" s="1426">
        <f t="shared" si="25"/>
        <v>0</v>
      </c>
      <c r="DP732" s="1426"/>
      <c r="DQ732" s="1426"/>
      <c r="DR732" s="1426"/>
      <c r="DS732" s="1426"/>
      <c r="DT732" s="257"/>
      <c r="DU732" s="1421">
        <f t="shared" si="26"/>
        <v>0</v>
      </c>
      <c r="DV732" s="1421"/>
      <c r="DW732" s="1421"/>
      <c r="DX732" s="1421"/>
      <c r="DY732" s="1421"/>
      <c r="DZ732" s="1421">
        <f t="shared" si="27"/>
        <v>0</v>
      </c>
      <c r="EA732" s="1421"/>
      <c r="EB732" s="1421"/>
      <c r="EC732" s="1421"/>
      <c r="ED732" s="1421"/>
      <c r="EE732" s="1421">
        <f t="shared" si="28"/>
        <v>0</v>
      </c>
      <c r="EF732" s="1421"/>
      <c r="EG732" s="1421"/>
      <c r="EH732" s="1421"/>
      <c r="EI732" s="1421"/>
      <c r="EJ732" s="1421">
        <f t="shared" si="29"/>
        <v>0</v>
      </c>
      <c r="EK732" s="1421"/>
      <c r="EL732" s="1421"/>
      <c r="EM732" s="1421"/>
      <c r="EN732" s="1421"/>
      <c r="EO732" s="1421">
        <f t="shared" si="30"/>
        <v>0</v>
      </c>
      <c r="EP732" s="1421"/>
      <c r="EQ732" s="1421"/>
      <c r="ER732" s="1421"/>
      <c r="ES732" s="1421"/>
      <c r="ET732" s="1421">
        <f t="shared" si="31"/>
        <v>0</v>
      </c>
      <c r="EU732" s="1421"/>
      <c r="EV732" s="1421"/>
      <c r="EW732" s="1421"/>
      <c r="EX732" s="1421"/>
      <c r="EZ732" s="1432" t="str">
        <f t="shared" si="32"/>
        <v/>
      </c>
      <c r="FA732" s="1433"/>
      <c r="FB732" s="1433"/>
      <c r="FC732" s="1433"/>
      <c r="FD732" s="1434"/>
      <c r="FE732" s="1432" t="str">
        <f t="shared" si="33"/>
        <v/>
      </c>
      <c r="FF732" s="1433"/>
      <c r="FG732" s="1433"/>
      <c r="FH732" s="1433"/>
      <c r="FI732" s="1434"/>
      <c r="FJ732" s="1432">
        <f t="shared" si="34"/>
        <v>2257</v>
      </c>
      <c r="FK732" s="1433"/>
      <c r="FL732" s="1433"/>
      <c r="FM732" s="1433"/>
      <c r="FN732" s="1434"/>
      <c r="FO732" s="1432" t="str">
        <f t="shared" si="35"/>
        <v/>
      </c>
      <c r="FP732" s="1433"/>
      <c r="FQ732" s="1433"/>
      <c r="FR732" s="1433"/>
      <c r="FS732" s="1434"/>
      <c r="FT732" s="1432" t="str">
        <f t="shared" si="36"/>
        <v/>
      </c>
      <c r="FU732" s="1433"/>
      <c r="FV732" s="1433"/>
      <c r="FW732" s="1433"/>
      <c r="FX732" s="1434"/>
      <c r="FY732" s="1432" t="str">
        <f t="shared" si="37"/>
        <v/>
      </c>
      <c r="FZ732" s="1433"/>
      <c r="GA732" s="1433"/>
      <c r="GB732" s="1433"/>
      <c r="GC732" s="1434"/>
    </row>
    <row r="733" spans="1:185" ht="12.95" customHeight="1">
      <c r="B733" s="1255" t="s">
        <v>849</v>
      </c>
      <c r="C733" s="1256"/>
      <c r="D733" s="1256"/>
      <c r="E733" s="1256"/>
      <c r="F733" s="1257"/>
      <c r="G733" s="1249">
        <v>7</v>
      </c>
      <c r="H733" s="1250"/>
      <c r="I733" s="1250"/>
      <c r="J733" s="1251"/>
      <c r="K733" s="1252">
        <v>1097</v>
      </c>
      <c r="L733" s="1253"/>
      <c r="M733" s="1253"/>
      <c r="N733" s="1254"/>
      <c r="O733" s="1302">
        <v>1102</v>
      </c>
      <c r="P733" s="1303"/>
      <c r="Q733" s="1303"/>
      <c r="R733" s="1303"/>
      <c r="S733" s="1304"/>
      <c r="T733" s="1302">
        <v>26</v>
      </c>
      <c r="U733" s="1303"/>
      <c r="V733" s="1303"/>
      <c r="W733" s="1304"/>
      <c r="X733" s="1305">
        <f t="shared" si="10"/>
        <v>1128</v>
      </c>
      <c r="Y733" s="1300"/>
      <c r="Z733" s="1300"/>
      <c r="AA733" s="1300"/>
      <c r="AB733" s="1306"/>
      <c r="AC733" s="1307">
        <v>0.3</v>
      </c>
      <c r="AD733" s="1308"/>
      <c r="AE733" s="1308"/>
      <c r="AF733" s="1308"/>
      <c r="AG733" s="1309"/>
      <c r="AH733" s="1325">
        <f t="shared" si="38"/>
        <v>0.3</v>
      </c>
      <c r="AI733" s="1326"/>
      <c r="AJ733" s="1327"/>
      <c r="AK733" s="1255" t="s">
        <v>826</v>
      </c>
      <c r="AL733" s="1256"/>
      <c r="AM733" s="1256"/>
      <c r="AN733" s="1256"/>
      <c r="AO733" s="1257"/>
      <c r="AP733" s="3"/>
      <c r="AQ733" s="3"/>
      <c r="AR733" s="3"/>
      <c r="AS733" s="3"/>
      <c r="AY733" s="852"/>
      <c r="AZ733" s="84">
        <f t="shared" si="11"/>
        <v>3760</v>
      </c>
      <c r="BA733" s="3"/>
      <c r="BB733" s="3"/>
      <c r="BC733" s="3"/>
      <c r="BD733" s="3"/>
      <c r="BE733" s="136"/>
      <c r="BF733" s="203">
        <f t="shared" si="12"/>
        <v>7</v>
      </c>
      <c r="BG733" s="206">
        <f t="shared" si="13"/>
        <v>7.0707070707070704E-2</v>
      </c>
      <c r="BH733" s="207">
        <f t="shared" si="14"/>
        <v>2.121212121212121E-2</v>
      </c>
      <c r="BI733" s="3"/>
      <c r="BJ733" s="3"/>
      <c r="BK733" s="3"/>
      <c r="BL733" s="3"/>
      <c r="BM733" s="3"/>
      <c r="BN733" s="3"/>
      <c r="BS733" s="203">
        <f t="shared" si="15"/>
        <v>7</v>
      </c>
      <c r="BT733" s="206">
        <f t="shared" si="16"/>
        <v>7.0707070707070704E-2</v>
      </c>
      <c r="BU733" s="207">
        <f t="shared" si="17"/>
        <v>2.121212121212121E-2</v>
      </c>
      <c r="BV733" s="1178"/>
      <c r="BW733" s="3"/>
      <c r="BX733" s="3"/>
      <c r="BY733" s="3"/>
      <c r="BZ733" s="3"/>
      <c r="CA733" s="3"/>
      <c r="CB733" s="3"/>
      <c r="CC733" s="3"/>
      <c r="CE733" s="3"/>
      <c r="CF733" s="3"/>
      <c r="CG733" s="1432">
        <f t="shared" si="39"/>
        <v>0</v>
      </c>
      <c r="CH733" s="1434"/>
      <c r="CI733" s="1432">
        <f t="shared" si="40"/>
        <v>0</v>
      </c>
      <c r="CJ733" s="1434"/>
      <c r="CK733" s="1432">
        <f t="shared" si="18"/>
        <v>1</v>
      </c>
      <c r="CL733" s="1434"/>
      <c r="CM733" s="1432">
        <f t="shared" si="19"/>
        <v>7</v>
      </c>
      <c r="CN733" s="1434"/>
      <c r="CO733" s="3"/>
      <c r="CP733" s="1428">
        <f t="shared" si="20"/>
        <v>0</v>
      </c>
      <c r="CQ733" s="1429"/>
      <c r="CR733" s="1429"/>
      <c r="CS733" s="1429"/>
      <c r="CT733" s="1430"/>
      <c r="CU733" s="1426">
        <f t="shared" si="21"/>
        <v>0</v>
      </c>
      <c r="CV733" s="1426"/>
      <c r="CW733" s="1426"/>
      <c r="CX733" s="1426"/>
      <c r="CY733" s="1426"/>
      <c r="CZ733" s="1426">
        <f t="shared" si="22"/>
        <v>0</v>
      </c>
      <c r="DA733" s="1426"/>
      <c r="DB733" s="1426"/>
      <c r="DC733" s="1426"/>
      <c r="DD733" s="1426"/>
      <c r="DE733" s="1426">
        <f t="shared" si="23"/>
        <v>7</v>
      </c>
      <c r="DF733" s="1426"/>
      <c r="DG733" s="1426"/>
      <c r="DH733" s="1426"/>
      <c r="DI733" s="1426"/>
      <c r="DJ733" s="1426">
        <f t="shared" si="24"/>
        <v>0</v>
      </c>
      <c r="DK733" s="1426"/>
      <c r="DL733" s="1426"/>
      <c r="DM733" s="1426"/>
      <c r="DN733" s="1426"/>
      <c r="DO733" s="1426">
        <f t="shared" si="25"/>
        <v>0</v>
      </c>
      <c r="DP733" s="1426"/>
      <c r="DQ733" s="1426"/>
      <c r="DR733" s="1426"/>
      <c r="DS733" s="1426"/>
      <c r="DT733" s="257"/>
      <c r="DU733" s="1421">
        <f t="shared" si="26"/>
        <v>0</v>
      </c>
      <c r="DV733" s="1421"/>
      <c r="DW733" s="1421"/>
      <c r="DX733" s="1421"/>
      <c r="DY733" s="1421"/>
      <c r="DZ733" s="1421">
        <f t="shared" si="27"/>
        <v>0</v>
      </c>
      <c r="EA733" s="1421"/>
      <c r="EB733" s="1421"/>
      <c r="EC733" s="1421"/>
      <c r="ED733" s="1421"/>
      <c r="EE733" s="1421">
        <f t="shared" si="28"/>
        <v>0</v>
      </c>
      <c r="EF733" s="1421"/>
      <c r="EG733" s="1421"/>
      <c r="EH733" s="1421"/>
      <c r="EI733" s="1421"/>
      <c r="EJ733" s="1421">
        <f t="shared" si="29"/>
        <v>7</v>
      </c>
      <c r="EK733" s="1421"/>
      <c r="EL733" s="1421"/>
      <c r="EM733" s="1421"/>
      <c r="EN733" s="1421"/>
      <c r="EO733" s="1421">
        <f t="shared" si="30"/>
        <v>0</v>
      </c>
      <c r="EP733" s="1421"/>
      <c r="EQ733" s="1421"/>
      <c r="ER733" s="1421"/>
      <c r="ES733" s="1421"/>
      <c r="ET733" s="1421">
        <f t="shared" si="31"/>
        <v>0</v>
      </c>
      <c r="EU733" s="1421"/>
      <c r="EV733" s="1421"/>
      <c r="EW733" s="1421"/>
      <c r="EX733" s="1421"/>
      <c r="EZ733" s="1432" t="str">
        <f t="shared" si="32"/>
        <v/>
      </c>
      <c r="FA733" s="1433"/>
      <c r="FB733" s="1433"/>
      <c r="FC733" s="1433"/>
      <c r="FD733" s="1434"/>
      <c r="FE733" s="1432" t="str">
        <f t="shared" si="33"/>
        <v/>
      </c>
      <c r="FF733" s="1433"/>
      <c r="FG733" s="1433"/>
      <c r="FH733" s="1433"/>
      <c r="FI733" s="1434"/>
      <c r="FJ733" s="1432" t="str">
        <f t="shared" si="34"/>
        <v/>
      </c>
      <c r="FK733" s="1433"/>
      <c r="FL733" s="1433"/>
      <c r="FM733" s="1433"/>
      <c r="FN733" s="1434"/>
      <c r="FO733" s="1432">
        <f t="shared" si="35"/>
        <v>1102</v>
      </c>
      <c r="FP733" s="1433"/>
      <c r="FQ733" s="1433"/>
      <c r="FR733" s="1433"/>
      <c r="FS733" s="1434"/>
      <c r="FT733" s="1432" t="str">
        <f t="shared" si="36"/>
        <v/>
      </c>
      <c r="FU733" s="1433"/>
      <c r="FV733" s="1433"/>
      <c r="FW733" s="1433"/>
      <c r="FX733" s="1434"/>
      <c r="FY733" s="1432" t="str">
        <f t="shared" si="37"/>
        <v/>
      </c>
      <c r="FZ733" s="1433"/>
      <c r="GA733" s="1433"/>
      <c r="GB733" s="1433"/>
      <c r="GC733" s="1434"/>
    </row>
    <row r="734" spans="1:185" ht="12.95" customHeight="1">
      <c r="B734" s="1255" t="s">
        <v>849</v>
      </c>
      <c r="C734" s="1256"/>
      <c r="D734" s="1256"/>
      <c r="E734" s="1256"/>
      <c r="F734" s="1257"/>
      <c r="G734" s="1249">
        <v>5</v>
      </c>
      <c r="H734" s="1250"/>
      <c r="I734" s="1250"/>
      <c r="J734" s="1251"/>
      <c r="K734" s="1252">
        <v>1097</v>
      </c>
      <c r="L734" s="1253"/>
      <c r="M734" s="1253"/>
      <c r="N734" s="1254"/>
      <c r="O734" s="1302">
        <v>1854</v>
      </c>
      <c r="P734" s="1303"/>
      <c r="Q734" s="1303"/>
      <c r="R734" s="1303"/>
      <c r="S734" s="1304"/>
      <c r="T734" s="1302">
        <v>26</v>
      </c>
      <c r="U734" s="1303"/>
      <c r="V734" s="1303"/>
      <c r="W734" s="1304"/>
      <c r="X734" s="1305">
        <f t="shared" si="10"/>
        <v>1880</v>
      </c>
      <c r="Y734" s="1300"/>
      <c r="Z734" s="1300"/>
      <c r="AA734" s="1300"/>
      <c r="AB734" s="1306"/>
      <c r="AC734" s="1307">
        <v>0.5</v>
      </c>
      <c r="AD734" s="1308"/>
      <c r="AE734" s="1308"/>
      <c r="AF734" s="1308"/>
      <c r="AG734" s="1309"/>
      <c r="AH734" s="1325">
        <f t="shared" si="38"/>
        <v>0.5</v>
      </c>
      <c r="AI734" s="1326"/>
      <c r="AJ734" s="1327"/>
      <c r="AK734" s="1255" t="s">
        <v>826</v>
      </c>
      <c r="AL734" s="1256"/>
      <c r="AM734" s="1256"/>
      <c r="AN734" s="1256"/>
      <c r="AO734" s="1257"/>
      <c r="AP734" s="3"/>
      <c r="AQ734" s="3"/>
      <c r="AR734" s="3"/>
      <c r="AS734" s="3"/>
      <c r="AY734" s="852"/>
      <c r="AZ734" s="84">
        <f t="shared" si="11"/>
        <v>3760</v>
      </c>
      <c r="BA734" s="3"/>
      <c r="BB734" s="3"/>
      <c r="BC734" s="3"/>
      <c r="BD734" s="3"/>
      <c r="BE734" s="136"/>
      <c r="BF734" s="203">
        <f t="shared" si="12"/>
        <v>5</v>
      </c>
      <c r="BG734" s="206">
        <f t="shared" si="13"/>
        <v>5.0505050505050504E-2</v>
      </c>
      <c r="BH734" s="207">
        <f t="shared" si="14"/>
        <v>2.5252525252525252E-2</v>
      </c>
      <c r="BI734" s="3"/>
      <c r="BJ734" s="3"/>
      <c r="BK734" s="3"/>
      <c r="BL734" s="3"/>
      <c r="BM734" s="3"/>
      <c r="BN734" s="3"/>
      <c r="BS734" s="203">
        <f t="shared" si="15"/>
        <v>5</v>
      </c>
      <c r="BT734" s="206">
        <f t="shared" si="16"/>
        <v>5.0505050505050504E-2</v>
      </c>
      <c r="BU734" s="207">
        <f t="shared" si="17"/>
        <v>2.5252525252525252E-2</v>
      </c>
      <c r="BV734" s="3"/>
      <c r="BW734" s="3"/>
      <c r="BX734" s="3"/>
      <c r="BY734" s="3"/>
      <c r="BZ734" s="3"/>
      <c r="CA734" s="3"/>
      <c r="CB734" s="3"/>
      <c r="CC734" s="3"/>
      <c r="CE734" s="3"/>
      <c r="CF734" s="3"/>
      <c r="CG734" s="1432">
        <f t="shared" si="39"/>
        <v>1</v>
      </c>
      <c r="CH734" s="1434"/>
      <c r="CI734" s="1432">
        <f t="shared" si="40"/>
        <v>5</v>
      </c>
      <c r="CJ734" s="1434"/>
      <c r="CK734" s="1432">
        <f t="shared" si="18"/>
        <v>0</v>
      </c>
      <c r="CL734" s="1434"/>
      <c r="CM734" s="1432">
        <f t="shared" si="19"/>
        <v>0</v>
      </c>
      <c r="CN734" s="1434"/>
      <c r="CO734" s="3"/>
      <c r="CP734" s="1428">
        <f t="shared" si="20"/>
        <v>0</v>
      </c>
      <c r="CQ734" s="1429"/>
      <c r="CR734" s="1429"/>
      <c r="CS734" s="1429"/>
      <c r="CT734" s="1430"/>
      <c r="CU734" s="1426">
        <f t="shared" si="21"/>
        <v>0</v>
      </c>
      <c r="CV734" s="1426"/>
      <c r="CW734" s="1426"/>
      <c r="CX734" s="1426"/>
      <c r="CY734" s="1426"/>
      <c r="CZ734" s="1426">
        <f t="shared" si="22"/>
        <v>0</v>
      </c>
      <c r="DA734" s="1426"/>
      <c r="DB734" s="1426"/>
      <c r="DC734" s="1426"/>
      <c r="DD734" s="1426"/>
      <c r="DE734" s="1426">
        <f t="shared" si="23"/>
        <v>5</v>
      </c>
      <c r="DF734" s="1426"/>
      <c r="DG734" s="1426"/>
      <c r="DH734" s="1426"/>
      <c r="DI734" s="1426"/>
      <c r="DJ734" s="1426">
        <f t="shared" si="24"/>
        <v>0</v>
      </c>
      <c r="DK734" s="1426"/>
      <c r="DL734" s="1426"/>
      <c r="DM734" s="1426"/>
      <c r="DN734" s="1426"/>
      <c r="DO734" s="1426">
        <f t="shared" si="25"/>
        <v>0</v>
      </c>
      <c r="DP734" s="1426"/>
      <c r="DQ734" s="1426"/>
      <c r="DR734" s="1426"/>
      <c r="DS734" s="1426"/>
      <c r="DT734" s="257"/>
      <c r="DU734" s="1421">
        <f t="shared" si="26"/>
        <v>0</v>
      </c>
      <c r="DV734" s="1421"/>
      <c r="DW734" s="1421"/>
      <c r="DX734" s="1421"/>
      <c r="DY734" s="1421"/>
      <c r="DZ734" s="1421">
        <f t="shared" si="27"/>
        <v>0</v>
      </c>
      <c r="EA734" s="1421"/>
      <c r="EB734" s="1421"/>
      <c r="EC734" s="1421"/>
      <c r="ED734" s="1421"/>
      <c r="EE734" s="1421">
        <f t="shared" si="28"/>
        <v>0</v>
      </c>
      <c r="EF734" s="1421"/>
      <c r="EG734" s="1421"/>
      <c r="EH734" s="1421"/>
      <c r="EI734" s="1421"/>
      <c r="EJ734" s="1421">
        <f t="shared" si="29"/>
        <v>0</v>
      </c>
      <c r="EK734" s="1421"/>
      <c r="EL734" s="1421"/>
      <c r="EM734" s="1421"/>
      <c r="EN734" s="1421"/>
      <c r="EO734" s="1421">
        <f t="shared" si="30"/>
        <v>0</v>
      </c>
      <c r="EP734" s="1421"/>
      <c r="EQ734" s="1421"/>
      <c r="ER734" s="1421"/>
      <c r="ES734" s="1421"/>
      <c r="ET734" s="1421">
        <f t="shared" si="31"/>
        <v>0</v>
      </c>
      <c r="EU734" s="1421"/>
      <c r="EV734" s="1421"/>
      <c r="EW734" s="1421"/>
      <c r="EX734" s="1421"/>
      <c r="EY734" s="3"/>
      <c r="EZ734" s="1432" t="str">
        <f t="shared" si="32"/>
        <v/>
      </c>
      <c r="FA734" s="1433"/>
      <c r="FB734" s="1433"/>
      <c r="FC734" s="1433"/>
      <c r="FD734" s="1434"/>
      <c r="FE734" s="1432" t="str">
        <f t="shared" si="33"/>
        <v/>
      </c>
      <c r="FF734" s="1433"/>
      <c r="FG734" s="1433"/>
      <c r="FH734" s="1433"/>
      <c r="FI734" s="1434"/>
      <c r="FJ734" s="1432" t="str">
        <f t="shared" si="34"/>
        <v/>
      </c>
      <c r="FK734" s="1433"/>
      <c r="FL734" s="1433"/>
      <c r="FM734" s="1433"/>
      <c r="FN734" s="1434"/>
      <c r="FO734" s="1432">
        <f t="shared" si="35"/>
        <v>1854</v>
      </c>
      <c r="FP734" s="1433"/>
      <c r="FQ734" s="1433"/>
      <c r="FR734" s="1433"/>
      <c r="FS734" s="1434"/>
      <c r="FT734" s="1432" t="str">
        <f t="shared" si="36"/>
        <v/>
      </c>
      <c r="FU734" s="1433"/>
      <c r="FV734" s="1433"/>
      <c r="FW734" s="1433"/>
      <c r="FX734" s="1434"/>
      <c r="FY734" s="1432" t="str">
        <f t="shared" si="37"/>
        <v/>
      </c>
      <c r="FZ734" s="1433"/>
      <c r="GA734" s="1433"/>
      <c r="GB734" s="1433"/>
      <c r="GC734" s="1434"/>
    </row>
    <row r="735" spans="1:185" ht="12.95" customHeight="1">
      <c r="A735" s="3"/>
      <c r="B735" s="1255" t="s">
        <v>849</v>
      </c>
      <c r="C735" s="1256"/>
      <c r="D735" s="1256"/>
      <c r="E735" s="1256"/>
      <c r="F735" s="1257"/>
      <c r="G735" s="1249">
        <v>4</v>
      </c>
      <c r="H735" s="1250"/>
      <c r="I735" s="1250"/>
      <c r="J735" s="1251"/>
      <c r="K735" s="1252">
        <v>1097</v>
      </c>
      <c r="L735" s="1253"/>
      <c r="M735" s="1253"/>
      <c r="N735" s="1254"/>
      <c r="O735" s="1302">
        <v>2230</v>
      </c>
      <c r="P735" s="1303"/>
      <c r="Q735" s="1303"/>
      <c r="R735" s="1303"/>
      <c r="S735" s="1304"/>
      <c r="T735" s="1302">
        <v>26</v>
      </c>
      <c r="U735" s="1303"/>
      <c r="V735" s="1303"/>
      <c r="W735" s="1304"/>
      <c r="X735" s="1305">
        <f t="shared" si="10"/>
        <v>2256</v>
      </c>
      <c r="Y735" s="1300"/>
      <c r="Z735" s="1300"/>
      <c r="AA735" s="1300"/>
      <c r="AB735" s="1306"/>
      <c r="AC735" s="1307">
        <v>0.6</v>
      </c>
      <c r="AD735" s="1308"/>
      <c r="AE735" s="1308"/>
      <c r="AF735" s="1308"/>
      <c r="AG735" s="1309"/>
      <c r="AH735" s="1325">
        <f t="shared" si="38"/>
        <v>0.6</v>
      </c>
      <c r="AI735" s="1326"/>
      <c r="AJ735" s="1327"/>
      <c r="AK735" s="1255" t="s">
        <v>826</v>
      </c>
      <c r="AL735" s="1256"/>
      <c r="AM735" s="1256"/>
      <c r="AN735" s="1256"/>
      <c r="AO735" s="1257"/>
      <c r="AP735" s="3"/>
      <c r="AQ735" s="3"/>
      <c r="AR735" s="3"/>
      <c r="AS735" s="3"/>
      <c r="AY735" s="852"/>
      <c r="AZ735" s="84">
        <f t="shared" si="11"/>
        <v>3760</v>
      </c>
      <c r="BA735" s="3"/>
      <c r="BB735" s="3"/>
      <c r="BC735" s="3"/>
      <c r="BD735" s="3"/>
      <c r="BE735" s="136"/>
      <c r="BF735" s="203">
        <f t="shared" si="12"/>
        <v>4</v>
      </c>
      <c r="BG735" s="206">
        <f t="shared" si="13"/>
        <v>4.0404040404040407E-2</v>
      </c>
      <c r="BH735" s="207">
        <f t="shared" si="14"/>
        <v>2.4242424242424242E-2</v>
      </c>
      <c r="BI735" s="3"/>
      <c r="BJ735" s="3"/>
      <c r="BK735" s="3"/>
      <c r="BL735" s="3"/>
      <c r="BM735" s="3"/>
      <c r="BN735" s="3"/>
      <c r="BS735" s="203">
        <f t="shared" si="15"/>
        <v>4</v>
      </c>
      <c r="BT735" s="206">
        <f t="shared" si="16"/>
        <v>4.0404040404040407E-2</v>
      </c>
      <c r="BU735" s="207">
        <f t="shared" si="17"/>
        <v>2.4242424242424242E-2</v>
      </c>
      <c r="BV735" s="3"/>
      <c r="BW735" s="3"/>
      <c r="BX735" s="3"/>
      <c r="BY735" s="3"/>
      <c r="BZ735" s="3"/>
      <c r="CA735" s="3"/>
      <c r="CB735" s="3"/>
      <c r="CC735" s="3"/>
      <c r="CE735" s="3"/>
      <c r="CF735" s="3"/>
      <c r="CG735" s="1432">
        <f t="shared" si="39"/>
        <v>0</v>
      </c>
      <c r="CH735" s="1434"/>
      <c r="CI735" s="1432">
        <f t="shared" si="40"/>
        <v>0</v>
      </c>
      <c r="CJ735" s="1434"/>
      <c r="CK735" s="1432">
        <f t="shared" si="18"/>
        <v>0</v>
      </c>
      <c r="CL735" s="1434"/>
      <c r="CM735" s="1432">
        <f t="shared" si="19"/>
        <v>0</v>
      </c>
      <c r="CN735" s="1434"/>
      <c r="CO735" s="3"/>
      <c r="CP735" s="1428">
        <f t="shared" si="20"/>
        <v>0</v>
      </c>
      <c r="CQ735" s="1429"/>
      <c r="CR735" s="1429"/>
      <c r="CS735" s="1429"/>
      <c r="CT735" s="1430"/>
      <c r="CU735" s="1426">
        <f t="shared" si="21"/>
        <v>0</v>
      </c>
      <c r="CV735" s="1426"/>
      <c r="CW735" s="1426"/>
      <c r="CX735" s="1426"/>
      <c r="CY735" s="1426"/>
      <c r="CZ735" s="1426">
        <f t="shared" si="22"/>
        <v>0</v>
      </c>
      <c r="DA735" s="1426"/>
      <c r="DB735" s="1426"/>
      <c r="DC735" s="1426"/>
      <c r="DD735" s="1426"/>
      <c r="DE735" s="1426">
        <f t="shared" si="23"/>
        <v>4</v>
      </c>
      <c r="DF735" s="1426"/>
      <c r="DG735" s="1426"/>
      <c r="DH735" s="1426"/>
      <c r="DI735" s="1426"/>
      <c r="DJ735" s="1426">
        <f t="shared" si="24"/>
        <v>0</v>
      </c>
      <c r="DK735" s="1426"/>
      <c r="DL735" s="1426"/>
      <c r="DM735" s="1426"/>
      <c r="DN735" s="1426"/>
      <c r="DO735" s="1426">
        <f t="shared" si="25"/>
        <v>0</v>
      </c>
      <c r="DP735" s="1426"/>
      <c r="DQ735" s="1426"/>
      <c r="DR735" s="1426"/>
      <c r="DS735" s="1426"/>
      <c r="DT735" s="257"/>
      <c r="DU735" s="1421">
        <f t="shared" si="26"/>
        <v>0</v>
      </c>
      <c r="DV735" s="1421"/>
      <c r="DW735" s="1421"/>
      <c r="DX735" s="1421"/>
      <c r="DY735" s="1421"/>
      <c r="DZ735" s="1421">
        <f t="shared" si="27"/>
        <v>0</v>
      </c>
      <c r="EA735" s="1421"/>
      <c r="EB735" s="1421"/>
      <c r="EC735" s="1421"/>
      <c r="ED735" s="1421"/>
      <c r="EE735" s="1421">
        <f t="shared" si="28"/>
        <v>0</v>
      </c>
      <c r="EF735" s="1421"/>
      <c r="EG735" s="1421"/>
      <c r="EH735" s="1421"/>
      <c r="EI735" s="1421"/>
      <c r="EJ735" s="1421">
        <f t="shared" si="29"/>
        <v>0</v>
      </c>
      <c r="EK735" s="1421"/>
      <c r="EL735" s="1421"/>
      <c r="EM735" s="1421"/>
      <c r="EN735" s="1421"/>
      <c r="EO735" s="1421">
        <f t="shared" si="30"/>
        <v>0</v>
      </c>
      <c r="EP735" s="1421"/>
      <c r="EQ735" s="1421"/>
      <c r="ER735" s="1421"/>
      <c r="ES735" s="1421"/>
      <c r="ET735" s="1421">
        <f t="shared" si="31"/>
        <v>0</v>
      </c>
      <c r="EU735" s="1421"/>
      <c r="EV735" s="1421"/>
      <c r="EW735" s="1421"/>
      <c r="EX735" s="1421"/>
      <c r="EY735" s="3"/>
      <c r="EZ735" s="1432" t="str">
        <f t="shared" si="32"/>
        <v/>
      </c>
      <c r="FA735" s="1433"/>
      <c r="FB735" s="1433"/>
      <c r="FC735" s="1433"/>
      <c r="FD735" s="1434"/>
      <c r="FE735" s="1432" t="str">
        <f t="shared" si="33"/>
        <v/>
      </c>
      <c r="FF735" s="1433"/>
      <c r="FG735" s="1433"/>
      <c r="FH735" s="1433"/>
      <c r="FI735" s="1434"/>
      <c r="FJ735" s="1432" t="str">
        <f t="shared" si="34"/>
        <v/>
      </c>
      <c r="FK735" s="1433"/>
      <c r="FL735" s="1433"/>
      <c r="FM735" s="1433"/>
      <c r="FN735" s="1434"/>
      <c r="FO735" s="1432">
        <f t="shared" si="35"/>
        <v>2230</v>
      </c>
      <c r="FP735" s="1433"/>
      <c r="FQ735" s="1433"/>
      <c r="FR735" s="1433"/>
      <c r="FS735" s="1434"/>
      <c r="FT735" s="1432" t="str">
        <f t="shared" si="36"/>
        <v/>
      </c>
      <c r="FU735" s="1433"/>
      <c r="FV735" s="1433"/>
      <c r="FW735" s="1433"/>
      <c r="FX735" s="1434"/>
      <c r="FY735" s="1432" t="str">
        <f t="shared" si="37"/>
        <v/>
      </c>
      <c r="FZ735" s="1433"/>
      <c r="GA735" s="1433"/>
      <c r="GB735" s="1433"/>
      <c r="GC735" s="1434"/>
    </row>
    <row r="736" spans="1:185" ht="12.95" customHeight="1">
      <c r="A736" s="3"/>
      <c r="B736" s="1255" t="s">
        <v>849</v>
      </c>
      <c r="C736" s="1256"/>
      <c r="D736" s="1256"/>
      <c r="E736" s="1256"/>
      <c r="F736" s="1257"/>
      <c r="G736" s="1249">
        <v>6</v>
      </c>
      <c r="H736" s="1250"/>
      <c r="I736" s="1250"/>
      <c r="J736" s="1251"/>
      <c r="K736" s="1252">
        <v>1097</v>
      </c>
      <c r="L736" s="1253"/>
      <c r="M736" s="1253"/>
      <c r="N736" s="1254"/>
      <c r="O736" s="1302">
        <v>2397</v>
      </c>
      <c r="P736" s="1303"/>
      <c r="Q736" s="1303"/>
      <c r="R736" s="1303"/>
      <c r="S736" s="1304"/>
      <c r="T736" s="1302">
        <v>26</v>
      </c>
      <c r="U736" s="1303"/>
      <c r="V736" s="1303"/>
      <c r="W736" s="1304"/>
      <c r="X736" s="1305">
        <f t="shared" si="10"/>
        <v>2423</v>
      </c>
      <c r="Y736" s="1300"/>
      <c r="Z736" s="1300"/>
      <c r="AA736" s="1300"/>
      <c r="AB736" s="1306"/>
      <c r="AC736" s="1307">
        <v>0.7</v>
      </c>
      <c r="AD736" s="1308"/>
      <c r="AE736" s="1308"/>
      <c r="AF736" s="1308"/>
      <c r="AG736" s="1309"/>
      <c r="AH736" s="1325">
        <f t="shared" si="38"/>
        <v>0.64441489361702131</v>
      </c>
      <c r="AI736" s="1326"/>
      <c r="AJ736" s="1327"/>
      <c r="AK736" s="1255" t="s">
        <v>826</v>
      </c>
      <c r="AL736" s="1256"/>
      <c r="AM736" s="1256"/>
      <c r="AN736" s="1256"/>
      <c r="AO736" s="1257"/>
      <c r="AP736" s="3"/>
      <c r="AQ736" s="3"/>
      <c r="AR736" s="3"/>
      <c r="AS736" s="3"/>
      <c r="AY736" s="852"/>
      <c r="AZ736" s="84">
        <f t="shared" si="11"/>
        <v>3760</v>
      </c>
      <c r="BA736" s="3"/>
      <c r="BB736" s="3"/>
      <c r="BC736" s="3"/>
      <c r="BD736" s="3"/>
      <c r="BE736" s="136"/>
      <c r="BF736" s="203">
        <f t="shared" si="12"/>
        <v>6</v>
      </c>
      <c r="BG736" s="206">
        <f t="shared" si="13"/>
        <v>6.0606060606060608E-2</v>
      </c>
      <c r="BH736" s="207">
        <f t="shared" si="14"/>
        <v>4.242424242424242E-2</v>
      </c>
      <c r="BI736" s="3"/>
      <c r="BJ736" s="3"/>
      <c r="BK736" s="3"/>
      <c r="BL736" s="3"/>
      <c r="BM736" s="3"/>
      <c r="BN736" s="3"/>
      <c r="BS736" s="203">
        <f t="shared" si="15"/>
        <v>6</v>
      </c>
      <c r="BT736" s="206">
        <f t="shared" si="16"/>
        <v>6.0606060606060608E-2</v>
      </c>
      <c r="BU736" s="207">
        <f t="shared" si="17"/>
        <v>3.9055448098001294E-2</v>
      </c>
      <c r="BV736" s="3"/>
      <c r="BW736" s="3"/>
      <c r="BX736" s="3"/>
      <c r="BY736" s="3"/>
      <c r="BZ736" s="3"/>
      <c r="CA736" s="3"/>
      <c r="CB736" s="3"/>
      <c r="CC736" s="3"/>
      <c r="CE736" s="3"/>
      <c r="CF736" s="3"/>
      <c r="CG736" s="1432">
        <f t="shared" si="39"/>
        <v>0</v>
      </c>
      <c r="CH736" s="1434"/>
      <c r="CI736" s="1432">
        <f t="shared" si="40"/>
        <v>0</v>
      </c>
      <c r="CJ736" s="1434"/>
      <c r="CK736" s="1432">
        <f t="shared" si="18"/>
        <v>0</v>
      </c>
      <c r="CL736" s="1434"/>
      <c r="CM736" s="1432">
        <f t="shared" si="19"/>
        <v>0</v>
      </c>
      <c r="CN736" s="1434"/>
      <c r="CO736" s="3"/>
      <c r="CP736" s="1428">
        <f t="shared" si="20"/>
        <v>0</v>
      </c>
      <c r="CQ736" s="1429"/>
      <c r="CR736" s="1429"/>
      <c r="CS736" s="1429"/>
      <c r="CT736" s="1430"/>
      <c r="CU736" s="1426">
        <f t="shared" si="21"/>
        <v>0</v>
      </c>
      <c r="CV736" s="1426"/>
      <c r="CW736" s="1426"/>
      <c r="CX736" s="1426"/>
      <c r="CY736" s="1426"/>
      <c r="CZ736" s="1426">
        <f t="shared" si="22"/>
        <v>0</v>
      </c>
      <c r="DA736" s="1426"/>
      <c r="DB736" s="1426"/>
      <c r="DC736" s="1426"/>
      <c r="DD736" s="1426"/>
      <c r="DE736" s="1426">
        <f t="shared" si="23"/>
        <v>6</v>
      </c>
      <c r="DF736" s="1426"/>
      <c r="DG736" s="1426"/>
      <c r="DH736" s="1426"/>
      <c r="DI736" s="1426"/>
      <c r="DJ736" s="1426">
        <f t="shared" si="24"/>
        <v>0</v>
      </c>
      <c r="DK736" s="1426"/>
      <c r="DL736" s="1426"/>
      <c r="DM736" s="1426"/>
      <c r="DN736" s="1426"/>
      <c r="DO736" s="1426">
        <f t="shared" si="25"/>
        <v>0</v>
      </c>
      <c r="DP736" s="1426"/>
      <c r="DQ736" s="1426"/>
      <c r="DR736" s="1426"/>
      <c r="DS736" s="1426"/>
      <c r="DT736" s="257"/>
      <c r="DU736" s="1421">
        <f t="shared" si="26"/>
        <v>0</v>
      </c>
      <c r="DV736" s="1421"/>
      <c r="DW736" s="1421"/>
      <c r="DX736" s="1421"/>
      <c r="DY736" s="1421"/>
      <c r="DZ736" s="1421">
        <f t="shared" si="27"/>
        <v>0</v>
      </c>
      <c r="EA736" s="1421"/>
      <c r="EB736" s="1421"/>
      <c r="EC736" s="1421"/>
      <c r="ED736" s="1421"/>
      <c r="EE736" s="1421">
        <f t="shared" si="28"/>
        <v>0</v>
      </c>
      <c r="EF736" s="1421"/>
      <c r="EG736" s="1421"/>
      <c r="EH736" s="1421"/>
      <c r="EI736" s="1421"/>
      <c r="EJ736" s="1421">
        <f t="shared" si="29"/>
        <v>0</v>
      </c>
      <c r="EK736" s="1421"/>
      <c r="EL736" s="1421"/>
      <c r="EM736" s="1421"/>
      <c r="EN736" s="1421"/>
      <c r="EO736" s="1421">
        <f t="shared" si="30"/>
        <v>0</v>
      </c>
      <c r="EP736" s="1421"/>
      <c r="EQ736" s="1421"/>
      <c r="ER736" s="1421"/>
      <c r="ES736" s="1421"/>
      <c r="ET736" s="1421">
        <f t="shared" si="31"/>
        <v>0</v>
      </c>
      <c r="EU736" s="1421"/>
      <c r="EV736" s="1421"/>
      <c r="EW736" s="1421"/>
      <c r="EX736" s="1421"/>
      <c r="EY736" s="3"/>
      <c r="EZ736" s="1432" t="str">
        <f t="shared" si="32"/>
        <v/>
      </c>
      <c r="FA736" s="1433"/>
      <c r="FB736" s="1433"/>
      <c r="FC736" s="1433"/>
      <c r="FD736" s="1434"/>
      <c r="FE736" s="1432" t="str">
        <f t="shared" si="33"/>
        <v/>
      </c>
      <c r="FF736" s="1433"/>
      <c r="FG736" s="1433"/>
      <c r="FH736" s="1433"/>
      <c r="FI736" s="1434"/>
      <c r="FJ736" s="1432" t="str">
        <f t="shared" si="34"/>
        <v/>
      </c>
      <c r="FK736" s="1433"/>
      <c r="FL736" s="1433"/>
      <c r="FM736" s="1433"/>
      <c r="FN736" s="1434"/>
      <c r="FO736" s="1432">
        <f t="shared" si="35"/>
        <v>2397</v>
      </c>
      <c r="FP736" s="1433"/>
      <c r="FQ736" s="1433"/>
      <c r="FR736" s="1433"/>
      <c r="FS736" s="1434"/>
      <c r="FT736" s="1432" t="str">
        <f t="shared" si="36"/>
        <v/>
      </c>
      <c r="FU736" s="1433"/>
      <c r="FV736" s="1433"/>
      <c r="FW736" s="1433"/>
      <c r="FX736" s="1434"/>
      <c r="FY736" s="1432" t="str">
        <f t="shared" si="37"/>
        <v/>
      </c>
      <c r="FZ736" s="1433"/>
      <c r="GA736" s="1433"/>
      <c r="GB736" s="1433"/>
      <c r="GC736" s="1434"/>
    </row>
    <row r="737" spans="1:185" ht="12.95" customHeight="1">
      <c r="A737" s="3"/>
      <c r="B737" s="1255" t="s">
        <v>848</v>
      </c>
      <c r="C737" s="1256"/>
      <c r="D737" s="1256"/>
      <c r="E737" s="1256"/>
      <c r="F737" s="1257"/>
      <c r="G737" s="1249">
        <v>2</v>
      </c>
      <c r="H737" s="1250"/>
      <c r="I737" s="1250"/>
      <c r="J737" s="1251"/>
      <c r="K737" s="1252">
        <v>788</v>
      </c>
      <c r="L737" s="1253"/>
      <c r="M737" s="1253"/>
      <c r="N737" s="1254"/>
      <c r="O737" s="1302">
        <v>955</v>
      </c>
      <c r="P737" s="1303"/>
      <c r="Q737" s="1303"/>
      <c r="R737" s="1303"/>
      <c r="S737" s="1304"/>
      <c r="T737" s="1302">
        <v>21</v>
      </c>
      <c r="U737" s="1303"/>
      <c r="V737" s="1303"/>
      <c r="W737" s="1304"/>
      <c r="X737" s="1305">
        <f t="shared" si="10"/>
        <v>976</v>
      </c>
      <c r="Y737" s="1300"/>
      <c r="Z737" s="1300"/>
      <c r="AA737" s="1300"/>
      <c r="AB737" s="1306"/>
      <c r="AC737" s="1307">
        <v>0.3</v>
      </c>
      <c r="AD737" s="1308"/>
      <c r="AE737" s="1308"/>
      <c r="AF737" s="1308"/>
      <c r="AG737" s="1309"/>
      <c r="AH737" s="1325">
        <f t="shared" si="38"/>
        <v>0.29993853718500307</v>
      </c>
      <c r="AI737" s="1326"/>
      <c r="AJ737" s="1327"/>
      <c r="AK737" s="1255" t="s">
        <v>826</v>
      </c>
      <c r="AL737" s="1256"/>
      <c r="AM737" s="1256"/>
      <c r="AN737" s="1256"/>
      <c r="AO737" s="1257"/>
      <c r="AP737" s="3"/>
      <c r="AQ737" s="3"/>
      <c r="AR737" s="3"/>
      <c r="AS737" s="3"/>
      <c r="AY737" s="852"/>
      <c r="AZ737" s="84">
        <f t="shared" si="11"/>
        <v>3254</v>
      </c>
      <c r="BA737" s="3"/>
      <c r="BB737" s="3"/>
      <c r="BC737" s="3"/>
      <c r="BD737" s="3"/>
      <c r="BE737" s="136"/>
      <c r="BF737" s="203">
        <f t="shared" si="12"/>
        <v>2</v>
      </c>
      <c r="BG737" s="206">
        <f t="shared" si="13"/>
        <v>2.0202020202020204E-2</v>
      </c>
      <c r="BH737" s="207">
        <f t="shared" si="14"/>
        <v>6.0606060606060606E-3</v>
      </c>
      <c r="BI737" s="3"/>
      <c r="BJ737" s="3"/>
      <c r="BK737" s="3"/>
      <c r="BL737" s="3"/>
      <c r="BM737" s="3"/>
      <c r="BN737" s="3"/>
      <c r="BS737" s="203">
        <f t="shared" si="15"/>
        <v>2</v>
      </c>
      <c r="BT737" s="206">
        <f t="shared" si="16"/>
        <v>2.0202020202020204E-2</v>
      </c>
      <c r="BU737" s="207">
        <f t="shared" si="17"/>
        <v>6.0593643875758198E-3</v>
      </c>
      <c r="BV737" s="3"/>
      <c r="BW737" s="3"/>
      <c r="BX737" s="3"/>
      <c r="BY737" s="3"/>
      <c r="BZ737" s="3"/>
      <c r="CA737" s="3"/>
      <c r="CB737" s="3"/>
      <c r="CC737" s="3"/>
      <c r="CE737" s="3"/>
      <c r="CF737" s="3"/>
      <c r="CG737" s="1432">
        <f t="shared" si="39"/>
        <v>0</v>
      </c>
      <c r="CH737" s="1434"/>
      <c r="CI737" s="1432">
        <f t="shared" si="40"/>
        <v>0</v>
      </c>
      <c r="CJ737" s="1434"/>
      <c r="CK737" s="1432">
        <f t="shared" si="18"/>
        <v>1</v>
      </c>
      <c r="CL737" s="1434"/>
      <c r="CM737" s="1432">
        <f t="shared" si="19"/>
        <v>2</v>
      </c>
      <c r="CN737" s="1434"/>
      <c r="CO737" s="3"/>
      <c r="CP737" s="1428">
        <f t="shared" si="20"/>
        <v>0</v>
      </c>
      <c r="CQ737" s="1429"/>
      <c r="CR737" s="1429"/>
      <c r="CS737" s="1429"/>
      <c r="CT737" s="1430"/>
      <c r="CU737" s="1426">
        <f t="shared" si="21"/>
        <v>0</v>
      </c>
      <c r="CV737" s="1426"/>
      <c r="CW737" s="1426"/>
      <c r="CX737" s="1426"/>
      <c r="CY737" s="1426"/>
      <c r="CZ737" s="1426">
        <f t="shared" si="22"/>
        <v>2</v>
      </c>
      <c r="DA737" s="1426"/>
      <c r="DB737" s="1426"/>
      <c r="DC737" s="1426"/>
      <c r="DD737" s="1426"/>
      <c r="DE737" s="1426">
        <f t="shared" si="23"/>
        <v>0</v>
      </c>
      <c r="DF737" s="1426"/>
      <c r="DG737" s="1426"/>
      <c r="DH737" s="1426"/>
      <c r="DI737" s="1426"/>
      <c r="DJ737" s="1426">
        <f t="shared" si="24"/>
        <v>0</v>
      </c>
      <c r="DK737" s="1426"/>
      <c r="DL737" s="1426"/>
      <c r="DM737" s="1426"/>
      <c r="DN737" s="1426"/>
      <c r="DO737" s="1426">
        <f t="shared" si="25"/>
        <v>0</v>
      </c>
      <c r="DP737" s="1426"/>
      <c r="DQ737" s="1426"/>
      <c r="DR737" s="1426"/>
      <c r="DS737" s="1426"/>
      <c r="DT737" s="257"/>
      <c r="DU737" s="1421">
        <f t="shared" si="26"/>
        <v>0</v>
      </c>
      <c r="DV737" s="1421"/>
      <c r="DW737" s="1421"/>
      <c r="DX737" s="1421"/>
      <c r="DY737" s="1421"/>
      <c r="DZ737" s="1421">
        <f t="shared" si="27"/>
        <v>0</v>
      </c>
      <c r="EA737" s="1421"/>
      <c r="EB737" s="1421"/>
      <c r="EC737" s="1421"/>
      <c r="ED737" s="1421"/>
      <c r="EE737" s="1421">
        <f t="shared" si="28"/>
        <v>2</v>
      </c>
      <c r="EF737" s="1421"/>
      <c r="EG737" s="1421"/>
      <c r="EH737" s="1421"/>
      <c r="EI737" s="1421"/>
      <c r="EJ737" s="1421">
        <f t="shared" si="29"/>
        <v>0</v>
      </c>
      <c r="EK737" s="1421"/>
      <c r="EL737" s="1421"/>
      <c r="EM737" s="1421"/>
      <c r="EN737" s="1421"/>
      <c r="EO737" s="1421">
        <f t="shared" si="30"/>
        <v>0</v>
      </c>
      <c r="EP737" s="1421"/>
      <c r="EQ737" s="1421"/>
      <c r="ER737" s="1421"/>
      <c r="ES737" s="1421"/>
      <c r="ET737" s="1421">
        <f t="shared" si="31"/>
        <v>0</v>
      </c>
      <c r="EU737" s="1421"/>
      <c r="EV737" s="1421"/>
      <c r="EW737" s="1421"/>
      <c r="EX737" s="1421"/>
      <c r="EZ737" s="1432" t="str">
        <f t="shared" si="32"/>
        <v/>
      </c>
      <c r="FA737" s="1433"/>
      <c r="FB737" s="1433"/>
      <c r="FC737" s="1433"/>
      <c r="FD737" s="1434"/>
      <c r="FE737" s="1432" t="str">
        <f t="shared" si="33"/>
        <v/>
      </c>
      <c r="FF737" s="1433"/>
      <c r="FG737" s="1433"/>
      <c r="FH737" s="1433"/>
      <c r="FI737" s="1434"/>
      <c r="FJ737" s="1432">
        <f t="shared" si="34"/>
        <v>955</v>
      </c>
      <c r="FK737" s="1433"/>
      <c r="FL737" s="1433"/>
      <c r="FM737" s="1433"/>
      <c r="FN737" s="1434"/>
      <c r="FO737" s="1432" t="str">
        <f t="shared" si="35"/>
        <v/>
      </c>
      <c r="FP737" s="1433"/>
      <c r="FQ737" s="1433"/>
      <c r="FR737" s="1433"/>
      <c r="FS737" s="1434"/>
      <c r="FT737" s="1432" t="str">
        <f t="shared" si="36"/>
        <v/>
      </c>
      <c r="FU737" s="1433"/>
      <c r="FV737" s="1433"/>
      <c r="FW737" s="1433"/>
      <c r="FX737" s="1434"/>
      <c r="FY737" s="1432" t="str">
        <f t="shared" si="37"/>
        <v/>
      </c>
      <c r="FZ737" s="1433"/>
      <c r="GA737" s="1433"/>
      <c r="GB737" s="1433"/>
      <c r="GC737" s="1434"/>
    </row>
    <row r="738" spans="1:185" ht="12.95" customHeight="1">
      <c r="B738" s="1255" t="s">
        <v>849</v>
      </c>
      <c r="C738" s="1256"/>
      <c r="D738" s="1256"/>
      <c r="E738" s="1256"/>
      <c r="F738" s="1257"/>
      <c r="G738" s="1249">
        <v>4</v>
      </c>
      <c r="H738" s="1250"/>
      <c r="I738" s="1250"/>
      <c r="J738" s="1251"/>
      <c r="K738" s="1252">
        <v>1097</v>
      </c>
      <c r="L738" s="1253"/>
      <c r="M738" s="1253"/>
      <c r="N738" s="1254"/>
      <c r="O738" s="1302">
        <v>1102</v>
      </c>
      <c r="P738" s="1303"/>
      <c r="Q738" s="1303"/>
      <c r="R738" s="1303"/>
      <c r="S738" s="1304"/>
      <c r="T738" s="1302">
        <v>26</v>
      </c>
      <c r="U738" s="1303"/>
      <c r="V738" s="1303"/>
      <c r="W738" s="1304"/>
      <c r="X738" s="1305">
        <f t="shared" si="10"/>
        <v>1128</v>
      </c>
      <c r="Y738" s="1300"/>
      <c r="Z738" s="1300"/>
      <c r="AA738" s="1300"/>
      <c r="AB738" s="1306"/>
      <c r="AC738" s="1307">
        <v>0.3</v>
      </c>
      <c r="AD738" s="1308"/>
      <c r="AE738" s="1308"/>
      <c r="AF738" s="1308"/>
      <c r="AG738" s="1309"/>
      <c r="AH738" s="1325">
        <f t="shared" si="38"/>
        <v>0.3</v>
      </c>
      <c r="AI738" s="1326"/>
      <c r="AJ738" s="1327"/>
      <c r="AK738" s="1255" t="s">
        <v>826</v>
      </c>
      <c r="AL738" s="1256"/>
      <c r="AM738" s="1256"/>
      <c r="AN738" s="1256"/>
      <c r="AO738" s="1257"/>
      <c r="AP738" s="3"/>
      <c r="AQ738" s="3"/>
      <c r="AR738" s="3"/>
      <c r="AS738" s="3"/>
      <c r="AY738" s="852"/>
      <c r="AZ738" s="84">
        <f t="shared" si="11"/>
        <v>3760</v>
      </c>
      <c r="BA738" s="3"/>
      <c r="BB738" s="3"/>
      <c r="BC738" s="3"/>
      <c r="BD738" s="3"/>
      <c r="BE738" s="136"/>
      <c r="BF738" s="203">
        <f t="shared" si="12"/>
        <v>4</v>
      </c>
      <c r="BG738" s="206">
        <f t="shared" si="13"/>
        <v>4.0404040404040407E-2</v>
      </c>
      <c r="BH738" s="207">
        <f t="shared" si="14"/>
        <v>1.2121212121212121E-2</v>
      </c>
      <c r="BI738" s="3"/>
      <c r="BJ738" s="3"/>
      <c r="BK738" s="3"/>
      <c r="BL738" s="3"/>
      <c r="BM738" s="3"/>
      <c r="BN738" s="3"/>
      <c r="BS738" s="203">
        <f t="shared" si="15"/>
        <v>4</v>
      </c>
      <c r="BT738" s="206">
        <f t="shared" si="16"/>
        <v>4.0404040404040407E-2</v>
      </c>
      <c r="BU738" s="207">
        <f t="shared" si="17"/>
        <v>1.2121212121212121E-2</v>
      </c>
      <c r="BV738" s="3"/>
      <c r="BW738" s="3"/>
      <c r="BX738" s="3"/>
      <c r="BY738" s="3"/>
      <c r="BZ738" s="3"/>
      <c r="CA738" s="3"/>
      <c r="CB738" s="3"/>
      <c r="CC738" s="3"/>
      <c r="CE738" s="3"/>
      <c r="CF738" s="3"/>
      <c r="CG738" s="1432">
        <f t="shared" si="39"/>
        <v>0</v>
      </c>
      <c r="CH738" s="1434"/>
      <c r="CI738" s="1432">
        <f t="shared" si="40"/>
        <v>0</v>
      </c>
      <c r="CJ738" s="1434"/>
      <c r="CK738" s="1432">
        <f t="shared" si="18"/>
        <v>1</v>
      </c>
      <c r="CL738" s="1434"/>
      <c r="CM738" s="1432">
        <f t="shared" si="19"/>
        <v>4</v>
      </c>
      <c r="CN738" s="1434"/>
      <c r="CO738" s="3"/>
      <c r="CP738" s="1428">
        <f t="shared" si="20"/>
        <v>0</v>
      </c>
      <c r="CQ738" s="1429"/>
      <c r="CR738" s="1429"/>
      <c r="CS738" s="1429"/>
      <c r="CT738" s="1430"/>
      <c r="CU738" s="1426">
        <f t="shared" si="21"/>
        <v>0</v>
      </c>
      <c r="CV738" s="1426"/>
      <c r="CW738" s="1426"/>
      <c r="CX738" s="1426"/>
      <c r="CY738" s="1426"/>
      <c r="CZ738" s="1426">
        <f t="shared" si="22"/>
        <v>0</v>
      </c>
      <c r="DA738" s="1426"/>
      <c r="DB738" s="1426"/>
      <c r="DC738" s="1426"/>
      <c r="DD738" s="1426"/>
      <c r="DE738" s="1426">
        <f t="shared" si="23"/>
        <v>4</v>
      </c>
      <c r="DF738" s="1426"/>
      <c r="DG738" s="1426"/>
      <c r="DH738" s="1426"/>
      <c r="DI738" s="1426"/>
      <c r="DJ738" s="1426">
        <f t="shared" si="24"/>
        <v>0</v>
      </c>
      <c r="DK738" s="1426"/>
      <c r="DL738" s="1426"/>
      <c r="DM738" s="1426"/>
      <c r="DN738" s="1426"/>
      <c r="DO738" s="1426">
        <f t="shared" si="25"/>
        <v>0</v>
      </c>
      <c r="DP738" s="1426"/>
      <c r="DQ738" s="1426"/>
      <c r="DR738" s="1426"/>
      <c r="DS738" s="1426"/>
      <c r="DT738" s="257"/>
      <c r="DU738" s="1421">
        <f t="shared" si="26"/>
        <v>0</v>
      </c>
      <c r="DV738" s="1421"/>
      <c r="DW738" s="1421"/>
      <c r="DX738" s="1421"/>
      <c r="DY738" s="1421"/>
      <c r="DZ738" s="1421">
        <f t="shared" si="27"/>
        <v>0</v>
      </c>
      <c r="EA738" s="1421"/>
      <c r="EB738" s="1421"/>
      <c r="EC738" s="1421"/>
      <c r="ED738" s="1421"/>
      <c r="EE738" s="1421">
        <f t="shared" si="28"/>
        <v>0</v>
      </c>
      <c r="EF738" s="1421"/>
      <c r="EG738" s="1421"/>
      <c r="EH738" s="1421"/>
      <c r="EI738" s="1421"/>
      <c r="EJ738" s="1421">
        <f t="shared" si="29"/>
        <v>4</v>
      </c>
      <c r="EK738" s="1421"/>
      <c r="EL738" s="1421"/>
      <c r="EM738" s="1421"/>
      <c r="EN738" s="1421"/>
      <c r="EO738" s="1421">
        <f t="shared" si="30"/>
        <v>0</v>
      </c>
      <c r="EP738" s="1421"/>
      <c r="EQ738" s="1421"/>
      <c r="ER738" s="1421"/>
      <c r="ES738" s="1421"/>
      <c r="ET738" s="1421">
        <f t="shared" si="31"/>
        <v>0</v>
      </c>
      <c r="EU738" s="1421"/>
      <c r="EV738" s="1421"/>
      <c r="EW738" s="1421"/>
      <c r="EX738" s="1421"/>
      <c r="EZ738" s="1432" t="str">
        <f t="shared" si="32"/>
        <v/>
      </c>
      <c r="FA738" s="1433"/>
      <c r="FB738" s="1433"/>
      <c r="FC738" s="1433"/>
      <c r="FD738" s="1434"/>
      <c r="FE738" s="1432" t="str">
        <f t="shared" si="33"/>
        <v/>
      </c>
      <c r="FF738" s="1433"/>
      <c r="FG738" s="1433"/>
      <c r="FH738" s="1433"/>
      <c r="FI738" s="1434"/>
      <c r="FJ738" s="1432" t="str">
        <f t="shared" si="34"/>
        <v/>
      </c>
      <c r="FK738" s="1433"/>
      <c r="FL738" s="1433"/>
      <c r="FM738" s="1433"/>
      <c r="FN738" s="1434"/>
      <c r="FO738" s="1432">
        <f t="shared" si="35"/>
        <v>1102</v>
      </c>
      <c r="FP738" s="1433"/>
      <c r="FQ738" s="1433"/>
      <c r="FR738" s="1433"/>
      <c r="FS738" s="1434"/>
      <c r="FT738" s="1432" t="str">
        <f t="shared" si="36"/>
        <v/>
      </c>
      <c r="FU738" s="1433"/>
      <c r="FV738" s="1433"/>
      <c r="FW738" s="1433"/>
      <c r="FX738" s="1434"/>
      <c r="FY738" s="1432" t="str">
        <f t="shared" si="37"/>
        <v/>
      </c>
      <c r="FZ738" s="1433"/>
      <c r="GA738" s="1433"/>
      <c r="GB738" s="1433"/>
      <c r="GC738" s="1434"/>
    </row>
    <row r="739" spans="1:185" ht="12.95" customHeight="1">
      <c r="B739" s="1255"/>
      <c r="C739" s="1256"/>
      <c r="D739" s="1256"/>
      <c r="E739" s="1256"/>
      <c r="F739" s="1257"/>
      <c r="G739" s="1249"/>
      <c r="H739" s="1250"/>
      <c r="I739" s="1250"/>
      <c r="J739" s="1251"/>
      <c r="K739" s="1252"/>
      <c r="L739" s="1253"/>
      <c r="M739" s="1253"/>
      <c r="N739" s="1254"/>
      <c r="O739" s="1302"/>
      <c r="P739" s="1303"/>
      <c r="Q739" s="1303"/>
      <c r="R739" s="1303"/>
      <c r="S739" s="1304"/>
      <c r="T739" s="1302"/>
      <c r="U739" s="1303"/>
      <c r="V739" s="1303"/>
      <c r="W739" s="1304"/>
      <c r="X739" s="1305">
        <f t="shared" si="10"/>
        <v>0</v>
      </c>
      <c r="Y739" s="1300"/>
      <c r="Z739" s="1300"/>
      <c r="AA739" s="1300"/>
      <c r="AB739" s="1306"/>
      <c r="AC739" s="1307"/>
      <c r="AD739" s="1308"/>
      <c r="AE739" s="1308"/>
      <c r="AF739" s="1308"/>
      <c r="AG739" s="1309"/>
      <c r="AH739" s="1325" t="str">
        <f t="shared" si="38"/>
        <v/>
      </c>
      <c r="AI739" s="1326"/>
      <c r="AJ739" s="1327"/>
      <c r="AK739" s="1255" t="s">
        <v>826</v>
      </c>
      <c r="AL739" s="1256"/>
      <c r="AM739" s="1256"/>
      <c r="AN739" s="1256"/>
      <c r="AO739" s="1257"/>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32">
        <f t="shared" si="39"/>
        <v>0</v>
      </c>
      <c r="CH739" s="1434"/>
      <c r="CI739" s="1432">
        <f t="shared" si="40"/>
        <v>0</v>
      </c>
      <c r="CJ739" s="1434"/>
      <c r="CK739" s="1432">
        <f t="shared" si="18"/>
        <v>0</v>
      </c>
      <c r="CL739" s="1434"/>
      <c r="CM739" s="1432">
        <f t="shared" si="19"/>
        <v>0</v>
      </c>
      <c r="CN739" s="1434"/>
      <c r="CO739" s="3"/>
      <c r="CP739" s="1428">
        <f t="shared" si="20"/>
        <v>0</v>
      </c>
      <c r="CQ739" s="1429"/>
      <c r="CR739" s="1429"/>
      <c r="CS739" s="1429"/>
      <c r="CT739" s="1430"/>
      <c r="CU739" s="1426">
        <f t="shared" si="21"/>
        <v>0</v>
      </c>
      <c r="CV739" s="1426"/>
      <c r="CW739" s="1426"/>
      <c r="CX739" s="1426"/>
      <c r="CY739" s="1426"/>
      <c r="CZ739" s="1426">
        <f t="shared" si="22"/>
        <v>0</v>
      </c>
      <c r="DA739" s="1426"/>
      <c r="DB739" s="1426"/>
      <c r="DC739" s="1426"/>
      <c r="DD739" s="1426"/>
      <c r="DE739" s="1426">
        <f t="shared" si="23"/>
        <v>0</v>
      </c>
      <c r="DF739" s="1426"/>
      <c r="DG739" s="1426"/>
      <c r="DH739" s="1426"/>
      <c r="DI739" s="1426"/>
      <c r="DJ739" s="1426">
        <f t="shared" si="24"/>
        <v>0</v>
      </c>
      <c r="DK739" s="1426"/>
      <c r="DL739" s="1426"/>
      <c r="DM739" s="1426"/>
      <c r="DN739" s="1426"/>
      <c r="DO739" s="1426">
        <f t="shared" si="25"/>
        <v>0</v>
      </c>
      <c r="DP739" s="1426"/>
      <c r="DQ739" s="1426"/>
      <c r="DR739" s="1426"/>
      <c r="DS739" s="1426"/>
      <c r="DT739" s="257"/>
      <c r="DU739" s="1421">
        <f t="shared" si="26"/>
        <v>0</v>
      </c>
      <c r="DV739" s="1421"/>
      <c r="DW739" s="1421"/>
      <c r="DX739" s="1421"/>
      <c r="DY739" s="1421"/>
      <c r="DZ739" s="1421">
        <f t="shared" si="27"/>
        <v>0</v>
      </c>
      <c r="EA739" s="1421"/>
      <c r="EB739" s="1421"/>
      <c r="EC739" s="1421"/>
      <c r="ED739" s="1421"/>
      <c r="EE739" s="1421">
        <f t="shared" si="28"/>
        <v>0</v>
      </c>
      <c r="EF739" s="1421"/>
      <c r="EG739" s="1421"/>
      <c r="EH739" s="1421"/>
      <c r="EI739" s="1421"/>
      <c r="EJ739" s="1421">
        <f t="shared" si="29"/>
        <v>0</v>
      </c>
      <c r="EK739" s="1421"/>
      <c r="EL739" s="1421"/>
      <c r="EM739" s="1421"/>
      <c r="EN739" s="1421"/>
      <c r="EO739" s="1421">
        <f t="shared" si="30"/>
        <v>0</v>
      </c>
      <c r="EP739" s="1421"/>
      <c r="EQ739" s="1421"/>
      <c r="ER739" s="1421"/>
      <c r="ES739" s="1421"/>
      <c r="ET739" s="1421">
        <f t="shared" si="31"/>
        <v>0</v>
      </c>
      <c r="EU739" s="1421"/>
      <c r="EV739" s="1421"/>
      <c r="EW739" s="1421"/>
      <c r="EX739" s="1421"/>
      <c r="EZ739" s="1432" t="str">
        <f t="shared" si="32"/>
        <v/>
      </c>
      <c r="FA739" s="1433"/>
      <c r="FB739" s="1433"/>
      <c r="FC739" s="1433"/>
      <c r="FD739" s="1434"/>
      <c r="FE739" s="1432" t="str">
        <f t="shared" si="33"/>
        <v/>
      </c>
      <c r="FF739" s="1433"/>
      <c r="FG739" s="1433"/>
      <c r="FH739" s="1433"/>
      <c r="FI739" s="1434"/>
      <c r="FJ739" s="1432" t="str">
        <f t="shared" si="34"/>
        <v/>
      </c>
      <c r="FK739" s="1433"/>
      <c r="FL739" s="1433"/>
      <c r="FM739" s="1433"/>
      <c r="FN739" s="1434"/>
      <c r="FO739" s="1432" t="str">
        <f t="shared" si="35"/>
        <v/>
      </c>
      <c r="FP739" s="1433"/>
      <c r="FQ739" s="1433"/>
      <c r="FR739" s="1433"/>
      <c r="FS739" s="1434"/>
      <c r="FT739" s="1432" t="str">
        <f t="shared" si="36"/>
        <v/>
      </c>
      <c r="FU739" s="1433"/>
      <c r="FV739" s="1433"/>
      <c r="FW739" s="1433"/>
      <c r="FX739" s="1434"/>
      <c r="FY739" s="1432" t="str">
        <f t="shared" si="37"/>
        <v/>
      </c>
      <c r="FZ739" s="1433"/>
      <c r="GA739" s="1433"/>
      <c r="GB739" s="1433"/>
      <c r="GC739" s="1434"/>
    </row>
    <row r="740" spans="1:185" ht="12.95" customHeight="1">
      <c r="B740" s="1255"/>
      <c r="C740" s="1256"/>
      <c r="D740" s="1256"/>
      <c r="E740" s="1256"/>
      <c r="F740" s="1257"/>
      <c r="G740" s="1249"/>
      <c r="H740" s="1250"/>
      <c r="I740" s="1250"/>
      <c r="J740" s="1251"/>
      <c r="K740" s="1252"/>
      <c r="L740" s="1253"/>
      <c r="M740" s="1253"/>
      <c r="N740" s="1254"/>
      <c r="O740" s="1302"/>
      <c r="P740" s="1303"/>
      <c r="Q740" s="1303"/>
      <c r="R740" s="1303"/>
      <c r="S740" s="1304"/>
      <c r="T740" s="1302"/>
      <c r="U740" s="1303"/>
      <c r="V740" s="1303"/>
      <c r="W740" s="1304"/>
      <c r="X740" s="1305">
        <f t="shared" si="10"/>
        <v>0</v>
      </c>
      <c r="Y740" s="1300"/>
      <c r="Z740" s="1300"/>
      <c r="AA740" s="1300"/>
      <c r="AB740" s="1306"/>
      <c r="AC740" s="1307"/>
      <c r="AD740" s="1308"/>
      <c r="AE740" s="1308"/>
      <c r="AF740" s="1308"/>
      <c r="AG740" s="1309"/>
      <c r="AH740" s="1325" t="str">
        <f t="shared" si="38"/>
        <v/>
      </c>
      <c r="AI740" s="1326"/>
      <c r="AJ740" s="1327"/>
      <c r="AK740" s="1255" t="s">
        <v>826</v>
      </c>
      <c r="AL740" s="1256"/>
      <c r="AM740" s="1256"/>
      <c r="AN740" s="1256"/>
      <c r="AO740" s="1257"/>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32">
        <f t="shared" si="39"/>
        <v>0</v>
      </c>
      <c r="CH740" s="1434"/>
      <c r="CI740" s="1432">
        <f t="shared" si="40"/>
        <v>0</v>
      </c>
      <c r="CJ740" s="1434"/>
      <c r="CK740" s="1432">
        <f t="shared" si="18"/>
        <v>0</v>
      </c>
      <c r="CL740" s="1434"/>
      <c r="CM740" s="1432">
        <f t="shared" si="19"/>
        <v>0</v>
      </c>
      <c r="CN740" s="1434"/>
      <c r="CO740" s="3"/>
      <c r="CP740" s="1428">
        <f t="shared" si="20"/>
        <v>0</v>
      </c>
      <c r="CQ740" s="1429"/>
      <c r="CR740" s="1429"/>
      <c r="CS740" s="1429"/>
      <c r="CT740" s="1430"/>
      <c r="CU740" s="1426">
        <f t="shared" si="21"/>
        <v>0</v>
      </c>
      <c r="CV740" s="1426"/>
      <c r="CW740" s="1426"/>
      <c r="CX740" s="1426"/>
      <c r="CY740" s="1426"/>
      <c r="CZ740" s="1426">
        <f t="shared" si="22"/>
        <v>0</v>
      </c>
      <c r="DA740" s="1426"/>
      <c r="DB740" s="1426"/>
      <c r="DC740" s="1426"/>
      <c r="DD740" s="1426"/>
      <c r="DE740" s="1426">
        <f t="shared" si="23"/>
        <v>0</v>
      </c>
      <c r="DF740" s="1426"/>
      <c r="DG740" s="1426"/>
      <c r="DH740" s="1426"/>
      <c r="DI740" s="1426"/>
      <c r="DJ740" s="1426">
        <f t="shared" si="24"/>
        <v>0</v>
      </c>
      <c r="DK740" s="1426"/>
      <c r="DL740" s="1426"/>
      <c r="DM740" s="1426"/>
      <c r="DN740" s="1426"/>
      <c r="DO740" s="1426">
        <f t="shared" si="25"/>
        <v>0</v>
      </c>
      <c r="DP740" s="1426"/>
      <c r="DQ740" s="1426"/>
      <c r="DR740" s="1426"/>
      <c r="DS740" s="1426"/>
      <c r="DT740" s="257"/>
      <c r="DU740" s="1421">
        <f t="shared" si="26"/>
        <v>0</v>
      </c>
      <c r="DV740" s="1421"/>
      <c r="DW740" s="1421"/>
      <c r="DX740" s="1421"/>
      <c r="DY740" s="1421"/>
      <c r="DZ740" s="1421">
        <f t="shared" si="27"/>
        <v>0</v>
      </c>
      <c r="EA740" s="1421"/>
      <c r="EB740" s="1421"/>
      <c r="EC740" s="1421"/>
      <c r="ED740" s="1421"/>
      <c r="EE740" s="1421">
        <f t="shared" si="28"/>
        <v>0</v>
      </c>
      <c r="EF740" s="1421"/>
      <c r="EG740" s="1421"/>
      <c r="EH740" s="1421"/>
      <c r="EI740" s="1421"/>
      <c r="EJ740" s="1421">
        <f t="shared" si="29"/>
        <v>0</v>
      </c>
      <c r="EK740" s="1421"/>
      <c r="EL740" s="1421"/>
      <c r="EM740" s="1421"/>
      <c r="EN740" s="1421"/>
      <c r="EO740" s="1421">
        <f t="shared" si="30"/>
        <v>0</v>
      </c>
      <c r="EP740" s="1421"/>
      <c r="EQ740" s="1421"/>
      <c r="ER740" s="1421"/>
      <c r="ES740" s="1421"/>
      <c r="ET740" s="1421">
        <f t="shared" si="31"/>
        <v>0</v>
      </c>
      <c r="EU740" s="1421"/>
      <c r="EV740" s="1421"/>
      <c r="EW740" s="1421"/>
      <c r="EX740" s="1421"/>
      <c r="EZ740" s="1432" t="str">
        <f t="shared" si="32"/>
        <v/>
      </c>
      <c r="FA740" s="1433"/>
      <c r="FB740" s="1433"/>
      <c r="FC740" s="1433"/>
      <c r="FD740" s="1434"/>
      <c r="FE740" s="1432" t="str">
        <f t="shared" si="33"/>
        <v/>
      </c>
      <c r="FF740" s="1433"/>
      <c r="FG740" s="1433"/>
      <c r="FH740" s="1433"/>
      <c r="FI740" s="1434"/>
      <c r="FJ740" s="1432" t="str">
        <f t="shared" si="34"/>
        <v/>
      </c>
      <c r="FK740" s="1433"/>
      <c r="FL740" s="1433"/>
      <c r="FM740" s="1433"/>
      <c r="FN740" s="1434"/>
      <c r="FO740" s="1432" t="str">
        <f t="shared" si="35"/>
        <v/>
      </c>
      <c r="FP740" s="1433"/>
      <c r="FQ740" s="1433"/>
      <c r="FR740" s="1433"/>
      <c r="FS740" s="1434"/>
      <c r="FT740" s="1432" t="str">
        <f t="shared" si="36"/>
        <v/>
      </c>
      <c r="FU740" s="1433"/>
      <c r="FV740" s="1433"/>
      <c r="FW740" s="1433"/>
      <c r="FX740" s="1434"/>
      <c r="FY740" s="1432" t="str">
        <f t="shared" si="37"/>
        <v/>
      </c>
      <c r="FZ740" s="1433"/>
      <c r="GA740" s="1433"/>
      <c r="GB740" s="1433"/>
      <c r="GC740" s="1434"/>
    </row>
    <row r="741" spans="1:185" ht="12.95" customHeight="1">
      <c r="B741" s="1255"/>
      <c r="C741" s="1256"/>
      <c r="D741" s="1256"/>
      <c r="E741" s="1256"/>
      <c r="F741" s="1257"/>
      <c r="G741" s="1249"/>
      <c r="H741" s="1250"/>
      <c r="I741" s="1250"/>
      <c r="J741" s="1251"/>
      <c r="K741" s="1252"/>
      <c r="L741" s="1253"/>
      <c r="M741" s="1253"/>
      <c r="N741" s="1254"/>
      <c r="O741" s="1302"/>
      <c r="P741" s="1303"/>
      <c r="Q741" s="1303"/>
      <c r="R741" s="1303"/>
      <c r="S741" s="1304"/>
      <c r="T741" s="1302"/>
      <c r="U741" s="1303"/>
      <c r="V741" s="1303"/>
      <c r="W741" s="1304"/>
      <c r="X741" s="1305">
        <f t="shared" si="10"/>
        <v>0</v>
      </c>
      <c r="Y741" s="1300"/>
      <c r="Z741" s="1300"/>
      <c r="AA741" s="1300"/>
      <c r="AB741" s="1306"/>
      <c r="AC741" s="1307"/>
      <c r="AD741" s="1308"/>
      <c r="AE741" s="1308"/>
      <c r="AF741" s="1308"/>
      <c r="AG741" s="1309"/>
      <c r="AH741" s="1325" t="str">
        <f t="shared" si="38"/>
        <v/>
      </c>
      <c r="AI741" s="1326"/>
      <c r="AJ741" s="1327"/>
      <c r="AK741" s="1255" t="s">
        <v>826</v>
      </c>
      <c r="AL741" s="1256"/>
      <c r="AM741" s="1256"/>
      <c r="AN741" s="1256"/>
      <c r="AO741" s="1257"/>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32">
        <f t="shared" si="39"/>
        <v>0</v>
      </c>
      <c r="CH741" s="1434"/>
      <c r="CI741" s="1432">
        <f t="shared" si="40"/>
        <v>0</v>
      </c>
      <c r="CJ741" s="1434"/>
      <c r="CK741" s="1432">
        <f t="shared" si="18"/>
        <v>0</v>
      </c>
      <c r="CL741" s="1434"/>
      <c r="CM741" s="1432">
        <f t="shared" si="19"/>
        <v>0</v>
      </c>
      <c r="CN741" s="1434"/>
      <c r="CO741" s="3"/>
      <c r="CP741" s="1428">
        <f t="shared" si="20"/>
        <v>0</v>
      </c>
      <c r="CQ741" s="1429"/>
      <c r="CR741" s="1429"/>
      <c r="CS741" s="1429"/>
      <c r="CT741" s="1430"/>
      <c r="CU741" s="1426">
        <f t="shared" si="21"/>
        <v>0</v>
      </c>
      <c r="CV741" s="1426"/>
      <c r="CW741" s="1426"/>
      <c r="CX741" s="1426"/>
      <c r="CY741" s="1426"/>
      <c r="CZ741" s="1426">
        <f t="shared" si="22"/>
        <v>0</v>
      </c>
      <c r="DA741" s="1426"/>
      <c r="DB741" s="1426"/>
      <c r="DC741" s="1426"/>
      <c r="DD741" s="1426"/>
      <c r="DE741" s="1426">
        <f t="shared" si="23"/>
        <v>0</v>
      </c>
      <c r="DF741" s="1426"/>
      <c r="DG741" s="1426"/>
      <c r="DH741" s="1426"/>
      <c r="DI741" s="1426"/>
      <c r="DJ741" s="1426">
        <f t="shared" si="24"/>
        <v>0</v>
      </c>
      <c r="DK741" s="1426"/>
      <c r="DL741" s="1426"/>
      <c r="DM741" s="1426"/>
      <c r="DN741" s="1426"/>
      <c r="DO741" s="1426">
        <f t="shared" si="25"/>
        <v>0</v>
      </c>
      <c r="DP741" s="1426"/>
      <c r="DQ741" s="1426"/>
      <c r="DR741" s="1426"/>
      <c r="DS741" s="1426"/>
      <c r="DT741" s="257"/>
      <c r="DU741" s="1421">
        <f t="shared" si="26"/>
        <v>0</v>
      </c>
      <c r="DV741" s="1421"/>
      <c r="DW741" s="1421"/>
      <c r="DX741" s="1421"/>
      <c r="DY741" s="1421"/>
      <c r="DZ741" s="1421">
        <f t="shared" si="27"/>
        <v>0</v>
      </c>
      <c r="EA741" s="1421"/>
      <c r="EB741" s="1421"/>
      <c r="EC741" s="1421"/>
      <c r="ED741" s="1421"/>
      <c r="EE741" s="1421">
        <f t="shared" si="28"/>
        <v>0</v>
      </c>
      <c r="EF741" s="1421"/>
      <c r="EG741" s="1421"/>
      <c r="EH741" s="1421"/>
      <c r="EI741" s="1421"/>
      <c r="EJ741" s="1421">
        <f t="shared" si="29"/>
        <v>0</v>
      </c>
      <c r="EK741" s="1421"/>
      <c r="EL741" s="1421"/>
      <c r="EM741" s="1421"/>
      <c r="EN741" s="1421"/>
      <c r="EO741" s="1421">
        <f t="shared" si="30"/>
        <v>0</v>
      </c>
      <c r="EP741" s="1421"/>
      <c r="EQ741" s="1421"/>
      <c r="ER741" s="1421"/>
      <c r="ES741" s="1421"/>
      <c r="ET741" s="1421">
        <f t="shared" si="31"/>
        <v>0</v>
      </c>
      <c r="EU741" s="1421"/>
      <c r="EV741" s="1421"/>
      <c r="EW741" s="1421"/>
      <c r="EX741" s="1421"/>
      <c r="EZ741" s="1432" t="str">
        <f t="shared" si="32"/>
        <v/>
      </c>
      <c r="FA741" s="1433"/>
      <c r="FB741" s="1433"/>
      <c r="FC741" s="1433"/>
      <c r="FD741" s="1434"/>
      <c r="FE741" s="1432" t="str">
        <f t="shared" si="33"/>
        <v/>
      </c>
      <c r="FF741" s="1433"/>
      <c r="FG741" s="1433"/>
      <c r="FH741" s="1433"/>
      <c r="FI741" s="1434"/>
      <c r="FJ741" s="1432" t="str">
        <f t="shared" si="34"/>
        <v/>
      </c>
      <c r="FK741" s="1433"/>
      <c r="FL741" s="1433"/>
      <c r="FM741" s="1433"/>
      <c r="FN741" s="1434"/>
      <c r="FO741" s="1432" t="str">
        <f t="shared" si="35"/>
        <v/>
      </c>
      <c r="FP741" s="1433"/>
      <c r="FQ741" s="1433"/>
      <c r="FR741" s="1433"/>
      <c r="FS741" s="1434"/>
      <c r="FT741" s="1432" t="str">
        <f t="shared" si="36"/>
        <v/>
      </c>
      <c r="FU741" s="1433"/>
      <c r="FV741" s="1433"/>
      <c r="FW741" s="1433"/>
      <c r="FX741" s="1434"/>
      <c r="FY741" s="1432" t="str">
        <f t="shared" si="37"/>
        <v/>
      </c>
      <c r="FZ741" s="1433"/>
      <c r="GA741" s="1433"/>
      <c r="GB741" s="1433"/>
      <c r="GC741" s="1434"/>
    </row>
    <row r="742" spans="1:185" ht="12.95" customHeight="1">
      <c r="B742" s="1255"/>
      <c r="C742" s="1256"/>
      <c r="D742" s="1256"/>
      <c r="E742" s="1256"/>
      <c r="F742" s="1257"/>
      <c r="G742" s="1249"/>
      <c r="H742" s="1250"/>
      <c r="I742" s="1250"/>
      <c r="J742" s="1251"/>
      <c r="K742" s="1252"/>
      <c r="L742" s="1253"/>
      <c r="M742" s="1253"/>
      <c r="N742" s="1254"/>
      <c r="O742" s="1302"/>
      <c r="P742" s="1303"/>
      <c r="Q742" s="1303"/>
      <c r="R742" s="1303"/>
      <c r="S742" s="1304"/>
      <c r="T742" s="1302"/>
      <c r="U742" s="1303"/>
      <c r="V742" s="1303"/>
      <c r="W742" s="1304"/>
      <c r="X742" s="1305">
        <f t="shared" si="10"/>
        <v>0</v>
      </c>
      <c r="Y742" s="1300"/>
      <c r="Z742" s="1300"/>
      <c r="AA742" s="1300"/>
      <c r="AB742" s="1306"/>
      <c r="AC742" s="1307"/>
      <c r="AD742" s="1308"/>
      <c r="AE742" s="1308"/>
      <c r="AF742" s="1308"/>
      <c r="AG742" s="1309"/>
      <c r="AH742" s="1325" t="str">
        <f t="shared" si="38"/>
        <v/>
      </c>
      <c r="AI742" s="1326"/>
      <c r="AJ742" s="1327"/>
      <c r="AK742" s="1255" t="s">
        <v>826</v>
      </c>
      <c r="AL742" s="1256"/>
      <c r="AM742" s="1256"/>
      <c r="AN742" s="1256"/>
      <c r="AO742" s="1257"/>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32">
        <f t="shared" si="39"/>
        <v>0</v>
      </c>
      <c r="CH742" s="1434"/>
      <c r="CI742" s="1432">
        <f t="shared" si="40"/>
        <v>0</v>
      </c>
      <c r="CJ742" s="1434"/>
      <c r="CK742" s="1432">
        <f t="shared" si="18"/>
        <v>0</v>
      </c>
      <c r="CL742" s="1434"/>
      <c r="CM742" s="1432">
        <f t="shared" si="19"/>
        <v>0</v>
      </c>
      <c r="CN742" s="1434"/>
      <c r="CO742" s="3"/>
      <c r="CP742" s="1428">
        <f t="shared" si="20"/>
        <v>0</v>
      </c>
      <c r="CQ742" s="1429"/>
      <c r="CR742" s="1429"/>
      <c r="CS742" s="1429"/>
      <c r="CT742" s="1430"/>
      <c r="CU742" s="1426">
        <f t="shared" si="21"/>
        <v>0</v>
      </c>
      <c r="CV742" s="1426"/>
      <c r="CW742" s="1426"/>
      <c r="CX742" s="1426"/>
      <c r="CY742" s="1426"/>
      <c r="CZ742" s="1426">
        <f t="shared" si="22"/>
        <v>0</v>
      </c>
      <c r="DA742" s="1426"/>
      <c r="DB742" s="1426"/>
      <c r="DC742" s="1426"/>
      <c r="DD742" s="1426"/>
      <c r="DE742" s="1426">
        <f t="shared" si="23"/>
        <v>0</v>
      </c>
      <c r="DF742" s="1426"/>
      <c r="DG742" s="1426"/>
      <c r="DH742" s="1426"/>
      <c r="DI742" s="1426"/>
      <c r="DJ742" s="1426">
        <f t="shared" si="24"/>
        <v>0</v>
      </c>
      <c r="DK742" s="1426"/>
      <c r="DL742" s="1426"/>
      <c r="DM742" s="1426"/>
      <c r="DN742" s="1426"/>
      <c r="DO742" s="1426">
        <f t="shared" si="25"/>
        <v>0</v>
      </c>
      <c r="DP742" s="1426"/>
      <c r="DQ742" s="1426"/>
      <c r="DR742" s="1426"/>
      <c r="DS742" s="1426"/>
      <c r="DT742" s="257"/>
      <c r="DU742" s="1421">
        <f t="shared" si="26"/>
        <v>0</v>
      </c>
      <c r="DV742" s="1421"/>
      <c r="DW742" s="1421"/>
      <c r="DX742" s="1421"/>
      <c r="DY742" s="1421"/>
      <c r="DZ742" s="1421">
        <f t="shared" si="27"/>
        <v>0</v>
      </c>
      <c r="EA742" s="1421"/>
      <c r="EB742" s="1421"/>
      <c r="EC742" s="1421"/>
      <c r="ED742" s="1421"/>
      <c r="EE742" s="1421">
        <f t="shared" si="28"/>
        <v>0</v>
      </c>
      <c r="EF742" s="1421"/>
      <c r="EG742" s="1421"/>
      <c r="EH742" s="1421"/>
      <c r="EI742" s="1421"/>
      <c r="EJ742" s="1421">
        <f t="shared" si="29"/>
        <v>0</v>
      </c>
      <c r="EK742" s="1421"/>
      <c r="EL742" s="1421"/>
      <c r="EM742" s="1421"/>
      <c r="EN742" s="1421"/>
      <c r="EO742" s="1421">
        <f t="shared" si="30"/>
        <v>0</v>
      </c>
      <c r="EP742" s="1421"/>
      <c r="EQ742" s="1421"/>
      <c r="ER742" s="1421"/>
      <c r="ES742" s="1421"/>
      <c r="ET742" s="1421">
        <f t="shared" si="31"/>
        <v>0</v>
      </c>
      <c r="EU742" s="1421"/>
      <c r="EV742" s="1421"/>
      <c r="EW742" s="1421"/>
      <c r="EX742" s="1421"/>
      <c r="EZ742" s="1432" t="str">
        <f t="shared" si="32"/>
        <v/>
      </c>
      <c r="FA742" s="1433"/>
      <c r="FB742" s="1433"/>
      <c r="FC742" s="1433"/>
      <c r="FD742" s="1434"/>
      <c r="FE742" s="1432" t="str">
        <f t="shared" si="33"/>
        <v/>
      </c>
      <c r="FF742" s="1433"/>
      <c r="FG742" s="1433"/>
      <c r="FH742" s="1433"/>
      <c r="FI742" s="1434"/>
      <c r="FJ742" s="1432" t="str">
        <f t="shared" si="34"/>
        <v/>
      </c>
      <c r="FK742" s="1433"/>
      <c r="FL742" s="1433"/>
      <c r="FM742" s="1433"/>
      <c r="FN742" s="1434"/>
      <c r="FO742" s="1432" t="str">
        <f t="shared" si="35"/>
        <v/>
      </c>
      <c r="FP742" s="1433"/>
      <c r="FQ742" s="1433"/>
      <c r="FR742" s="1433"/>
      <c r="FS742" s="1434"/>
      <c r="FT742" s="1432" t="str">
        <f t="shared" si="36"/>
        <v/>
      </c>
      <c r="FU742" s="1433"/>
      <c r="FV742" s="1433"/>
      <c r="FW742" s="1433"/>
      <c r="FX742" s="1434"/>
      <c r="FY742" s="1432" t="str">
        <f t="shared" si="37"/>
        <v/>
      </c>
      <c r="FZ742" s="1433"/>
      <c r="GA742" s="1433"/>
      <c r="GB742" s="1433"/>
      <c r="GC742" s="1434"/>
    </row>
    <row r="743" spans="1:185" ht="12.95" customHeight="1">
      <c r="B743" s="1255"/>
      <c r="C743" s="1256"/>
      <c r="D743" s="1256"/>
      <c r="E743" s="1256"/>
      <c r="F743" s="1257"/>
      <c r="G743" s="1249"/>
      <c r="H743" s="1250"/>
      <c r="I743" s="1250"/>
      <c r="J743" s="1251"/>
      <c r="K743" s="1252"/>
      <c r="L743" s="1253"/>
      <c r="M743" s="1253"/>
      <c r="N743" s="1254"/>
      <c r="O743" s="1302"/>
      <c r="P743" s="1303"/>
      <c r="Q743" s="1303"/>
      <c r="R743" s="1303"/>
      <c r="S743" s="1304"/>
      <c r="T743" s="1302"/>
      <c r="U743" s="1303"/>
      <c r="V743" s="1303"/>
      <c r="W743" s="1304"/>
      <c r="X743" s="1305">
        <f t="shared" si="10"/>
        <v>0</v>
      </c>
      <c r="Y743" s="1300"/>
      <c r="Z743" s="1300"/>
      <c r="AA743" s="1300"/>
      <c r="AB743" s="1306"/>
      <c r="AC743" s="1307"/>
      <c r="AD743" s="1308"/>
      <c r="AE743" s="1308"/>
      <c r="AF743" s="1308"/>
      <c r="AG743" s="1309"/>
      <c r="AH743" s="1325" t="str">
        <f t="shared" si="38"/>
        <v/>
      </c>
      <c r="AI743" s="1326"/>
      <c r="AJ743" s="1327"/>
      <c r="AK743" s="1255" t="s">
        <v>826</v>
      </c>
      <c r="AL743" s="1256"/>
      <c r="AM743" s="1256"/>
      <c r="AN743" s="1256"/>
      <c r="AO743" s="1257"/>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32">
        <f t="shared" si="39"/>
        <v>0</v>
      </c>
      <c r="CH743" s="1434"/>
      <c r="CI743" s="1432">
        <f t="shared" si="40"/>
        <v>0</v>
      </c>
      <c r="CJ743" s="1434"/>
      <c r="CK743" s="1432">
        <f t="shared" si="18"/>
        <v>0</v>
      </c>
      <c r="CL743" s="1434"/>
      <c r="CM743" s="1432">
        <f t="shared" si="19"/>
        <v>0</v>
      </c>
      <c r="CN743" s="1434"/>
      <c r="CO743" s="3"/>
      <c r="CP743" s="1428">
        <f t="shared" si="20"/>
        <v>0</v>
      </c>
      <c r="CQ743" s="1429"/>
      <c r="CR743" s="1429"/>
      <c r="CS743" s="1429"/>
      <c r="CT743" s="1430"/>
      <c r="CU743" s="1426">
        <f t="shared" si="21"/>
        <v>0</v>
      </c>
      <c r="CV743" s="1426"/>
      <c r="CW743" s="1426"/>
      <c r="CX743" s="1426"/>
      <c r="CY743" s="1426"/>
      <c r="CZ743" s="1426">
        <f t="shared" si="22"/>
        <v>0</v>
      </c>
      <c r="DA743" s="1426"/>
      <c r="DB743" s="1426"/>
      <c r="DC743" s="1426"/>
      <c r="DD743" s="1426"/>
      <c r="DE743" s="1426">
        <f t="shared" si="23"/>
        <v>0</v>
      </c>
      <c r="DF743" s="1426"/>
      <c r="DG743" s="1426"/>
      <c r="DH743" s="1426"/>
      <c r="DI743" s="1426"/>
      <c r="DJ743" s="1426">
        <f t="shared" si="24"/>
        <v>0</v>
      </c>
      <c r="DK743" s="1426"/>
      <c r="DL743" s="1426"/>
      <c r="DM743" s="1426"/>
      <c r="DN743" s="1426"/>
      <c r="DO743" s="1426">
        <f t="shared" si="25"/>
        <v>0</v>
      </c>
      <c r="DP743" s="1426"/>
      <c r="DQ743" s="1426"/>
      <c r="DR743" s="1426"/>
      <c r="DS743" s="1426"/>
      <c r="DT743" s="257"/>
      <c r="DU743" s="1421">
        <f t="shared" si="26"/>
        <v>0</v>
      </c>
      <c r="DV743" s="1421"/>
      <c r="DW743" s="1421"/>
      <c r="DX743" s="1421"/>
      <c r="DY743" s="1421"/>
      <c r="DZ743" s="1421">
        <f t="shared" si="27"/>
        <v>0</v>
      </c>
      <c r="EA743" s="1421"/>
      <c r="EB743" s="1421"/>
      <c r="EC743" s="1421"/>
      <c r="ED743" s="1421"/>
      <c r="EE743" s="1421">
        <f t="shared" si="28"/>
        <v>0</v>
      </c>
      <c r="EF743" s="1421"/>
      <c r="EG743" s="1421"/>
      <c r="EH743" s="1421"/>
      <c r="EI743" s="1421"/>
      <c r="EJ743" s="1421">
        <f t="shared" si="29"/>
        <v>0</v>
      </c>
      <c r="EK743" s="1421"/>
      <c r="EL743" s="1421"/>
      <c r="EM743" s="1421"/>
      <c r="EN743" s="1421"/>
      <c r="EO743" s="1421">
        <f t="shared" si="30"/>
        <v>0</v>
      </c>
      <c r="EP743" s="1421"/>
      <c r="EQ743" s="1421"/>
      <c r="ER743" s="1421"/>
      <c r="ES743" s="1421"/>
      <c r="ET743" s="1421">
        <f t="shared" si="31"/>
        <v>0</v>
      </c>
      <c r="EU743" s="1421"/>
      <c r="EV743" s="1421"/>
      <c r="EW743" s="1421"/>
      <c r="EX743" s="1421"/>
      <c r="EZ743" s="1432" t="str">
        <f t="shared" si="32"/>
        <v/>
      </c>
      <c r="FA743" s="1433"/>
      <c r="FB743" s="1433"/>
      <c r="FC743" s="1433"/>
      <c r="FD743" s="1434"/>
      <c r="FE743" s="1432" t="str">
        <f t="shared" si="33"/>
        <v/>
      </c>
      <c r="FF743" s="1433"/>
      <c r="FG743" s="1433"/>
      <c r="FH743" s="1433"/>
      <c r="FI743" s="1434"/>
      <c r="FJ743" s="1432" t="str">
        <f t="shared" si="34"/>
        <v/>
      </c>
      <c r="FK743" s="1433"/>
      <c r="FL743" s="1433"/>
      <c r="FM743" s="1433"/>
      <c r="FN743" s="1434"/>
      <c r="FO743" s="1432" t="str">
        <f t="shared" si="35"/>
        <v/>
      </c>
      <c r="FP743" s="1433"/>
      <c r="FQ743" s="1433"/>
      <c r="FR743" s="1433"/>
      <c r="FS743" s="1434"/>
      <c r="FT743" s="1432" t="str">
        <f t="shared" si="36"/>
        <v/>
      </c>
      <c r="FU743" s="1433"/>
      <c r="FV743" s="1433"/>
      <c r="FW743" s="1433"/>
      <c r="FX743" s="1434"/>
      <c r="FY743" s="1432" t="str">
        <f t="shared" si="37"/>
        <v/>
      </c>
      <c r="FZ743" s="1433"/>
      <c r="GA743" s="1433"/>
      <c r="GB743" s="1433"/>
      <c r="GC743" s="1434"/>
    </row>
    <row r="744" spans="1:185" ht="12.95" customHeight="1">
      <c r="B744" s="1255"/>
      <c r="C744" s="1256"/>
      <c r="D744" s="1256"/>
      <c r="E744" s="1256"/>
      <c r="F744" s="1257"/>
      <c r="G744" s="1249"/>
      <c r="H744" s="1250"/>
      <c r="I744" s="1250"/>
      <c r="J744" s="1251"/>
      <c r="K744" s="1252"/>
      <c r="L744" s="1253"/>
      <c r="M744" s="1253"/>
      <c r="N744" s="1254"/>
      <c r="O744" s="1302"/>
      <c r="P744" s="1303"/>
      <c r="Q744" s="1303"/>
      <c r="R744" s="1303"/>
      <c r="S744" s="1304"/>
      <c r="T744" s="1302"/>
      <c r="U744" s="1303"/>
      <c r="V744" s="1303"/>
      <c r="W744" s="1304"/>
      <c r="X744" s="1305">
        <f t="shared" si="10"/>
        <v>0</v>
      </c>
      <c r="Y744" s="1300"/>
      <c r="Z744" s="1300"/>
      <c r="AA744" s="1300"/>
      <c r="AB744" s="1306"/>
      <c r="AC744" s="1307"/>
      <c r="AD744" s="1308"/>
      <c r="AE744" s="1308"/>
      <c r="AF744" s="1308"/>
      <c r="AG744" s="1309"/>
      <c r="AH744" s="1325" t="str">
        <f t="shared" si="38"/>
        <v/>
      </c>
      <c r="AI744" s="1326"/>
      <c r="AJ744" s="1327"/>
      <c r="AK744" s="1255" t="s">
        <v>826</v>
      </c>
      <c r="AL744" s="1256"/>
      <c r="AM744" s="1256"/>
      <c r="AN744" s="1256"/>
      <c r="AO744" s="1257"/>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32">
        <f t="shared" si="39"/>
        <v>0</v>
      </c>
      <c r="CH744" s="1434"/>
      <c r="CI744" s="1432">
        <f t="shared" si="40"/>
        <v>0</v>
      </c>
      <c r="CJ744" s="1434"/>
      <c r="CK744" s="1432">
        <f t="shared" si="18"/>
        <v>0</v>
      </c>
      <c r="CL744" s="1434"/>
      <c r="CM744" s="1432">
        <f t="shared" si="19"/>
        <v>0</v>
      </c>
      <c r="CN744" s="1434"/>
      <c r="CO744" s="3"/>
      <c r="CP744" s="1428">
        <f t="shared" si="20"/>
        <v>0</v>
      </c>
      <c r="CQ744" s="1429"/>
      <c r="CR744" s="1429"/>
      <c r="CS744" s="1429"/>
      <c r="CT744" s="1430"/>
      <c r="CU744" s="1426">
        <f t="shared" si="21"/>
        <v>0</v>
      </c>
      <c r="CV744" s="1426"/>
      <c r="CW744" s="1426"/>
      <c r="CX744" s="1426"/>
      <c r="CY744" s="1426"/>
      <c r="CZ744" s="1426">
        <f t="shared" si="22"/>
        <v>0</v>
      </c>
      <c r="DA744" s="1426"/>
      <c r="DB744" s="1426"/>
      <c r="DC744" s="1426"/>
      <c r="DD744" s="1426"/>
      <c r="DE744" s="1426">
        <f t="shared" si="23"/>
        <v>0</v>
      </c>
      <c r="DF744" s="1426"/>
      <c r="DG744" s="1426"/>
      <c r="DH744" s="1426"/>
      <c r="DI744" s="1426"/>
      <c r="DJ744" s="1426">
        <f t="shared" si="24"/>
        <v>0</v>
      </c>
      <c r="DK744" s="1426"/>
      <c r="DL744" s="1426"/>
      <c r="DM744" s="1426"/>
      <c r="DN744" s="1426"/>
      <c r="DO744" s="1426">
        <f t="shared" si="25"/>
        <v>0</v>
      </c>
      <c r="DP744" s="1426"/>
      <c r="DQ744" s="1426"/>
      <c r="DR744" s="1426"/>
      <c r="DS744" s="1426"/>
      <c r="DT744" s="257"/>
      <c r="DU744" s="1421">
        <f t="shared" si="26"/>
        <v>0</v>
      </c>
      <c r="DV744" s="1421"/>
      <c r="DW744" s="1421"/>
      <c r="DX744" s="1421"/>
      <c r="DY744" s="1421"/>
      <c r="DZ744" s="1421">
        <f t="shared" si="27"/>
        <v>0</v>
      </c>
      <c r="EA744" s="1421"/>
      <c r="EB744" s="1421"/>
      <c r="EC744" s="1421"/>
      <c r="ED744" s="1421"/>
      <c r="EE744" s="1421">
        <f t="shared" si="28"/>
        <v>0</v>
      </c>
      <c r="EF744" s="1421"/>
      <c r="EG744" s="1421"/>
      <c r="EH744" s="1421"/>
      <c r="EI744" s="1421"/>
      <c r="EJ744" s="1421">
        <f t="shared" si="29"/>
        <v>0</v>
      </c>
      <c r="EK744" s="1421"/>
      <c r="EL744" s="1421"/>
      <c r="EM744" s="1421"/>
      <c r="EN744" s="1421"/>
      <c r="EO744" s="1421">
        <f t="shared" si="30"/>
        <v>0</v>
      </c>
      <c r="EP744" s="1421"/>
      <c r="EQ744" s="1421"/>
      <c r="ER744" s="1421"/>
      <c r="ES744" s="1421"/>
      <c r="ET744" s="1421">
        <f t="shared" si="31"/>
        <v>0</v>
      </c>
      <c r="EU744" s="1421"/>
      <c r="EV744" s="1421"/>
      <c r="EW744" s="1421"/>
      <c r="EX744" s="1421"/>
      <c r="EZ744" s="1432" t="str">
        <f t="shared" si="32"/>
        <v/>
      </c>
      <c r="FA744" s="1433"/>
      <c r="FB744" s="1433"/>
      <c r="FC744" s="1433"/>
      <c r="FD744" s="1434"/>
      <c r="FE744" s="1432" t="str">
        <f t="shared" si="33"/>
        <v/>
      </c>
      <c r="FF744" s="1433"/>
      <c r="FG744" s="1433"/>
      <c r="FH744" s="1433"/>
      <c r="FI744" s="1434"/>
      <c r="FJ744" s="1432" t="str">
        <f t="shared" si="34"/>
        <v/>
      </c>
      <c r="FK744" s="1433"/>
      <c r="FL744" s="1433"/>
      <c r="FM744" s="1433"/>
      <c r="FN744" s="1434"/>
      <c r="FO744" s="1432" t="str">
        <f t="shared" si="35"/>
        <v/>
      </c>
      <c r="FP744" s="1433"/>
      <c r="FQ744" s="1433"/>
      <c r="FR744" s="1433"/>
      <c r="FS744" s="1434"/>
      <c r="FT744" s="1432" t="str">
        <f t="shared" si="36"/>
        <v/>
      </c>
      <c r="FU744" s="1433"/>
      <c r="FV744" s="1433"/>
      <c r="FW744" s="1433"/>
      <c r="FX744" s="1434"/>
      <c r="FY744" s="1432" t="str">
        <f t="shared" si="37"/>
        <v/>
      </c>
      <c r="FZ744" s="1433"/>
      <c r="GA744" s="1433"/>
      <c r="GB744" s="1433"/>
      <c r="GC744" s="1434"/>
    </row>
    <row r="745" spans="1:185" ht="12.95" customHeight="1">
      <c r="B745" s="1255"/>
      <c r="C745" s="1256"/>
      <c r="D745" s="1256"/>
      <c r="E745" s="1256"/>
      <c r="F745" s="1257"/>
      <c r="G745" s="1249"/>
      <c r="H745" s="1250"/>
      <c r="I745" s="1250"/>
      <c r="J745" s="1251"/>
      <c r="K745" s="1252"/>
      <c r="L745" s="1253"/>
      <c r="M745" s="1253"/>
      <c r="N745" s="1254"/>
      <c r="O745" s="1302"/>
      <c r="P745" s="1303"/>
      <c r="Q745" s="1303"/>
      <c r="R745" s="1303"/>
      <c r="S745" s="1304"/>
      <c r="T745" s="1302"/>
      <c r="U745" s="1303"/>
      <c r="V745" s="1303"/>
      <c r="W745" s="1304"/>
      <c r="X745" s="1305">
        <f t="shared" si="10"/>
        <v>0</v>
      </c>
      <c r="Y745" s="1300"/>
      <c r="Z745" s="1300"/>
      <c r="AA745" s="1300"/>
      <c r="AB745" s="1306"/>
      <c r="AC745" s="1307"/>
      <c r="AD745" s="1308"/>
      <c r="AE745" s="1308"/>
      <c r="AF745" s="1308"/>
      <c r="AG745" s="1309"/>
      <c r="AH745" s="1325" t="str">
        <f t="shared" si="38"/>
        <v/>
      </c>
      <c r="AI745" s="1326"/>
      <c r="AJ745" s="1327"/>
      <c r="AK745" s="1255" t="s">
        <v>826</v>
      </c>
      <c r="AL745" s="1256"/>
      <c r="AM745" s="1256"/>
      <c r="AN745" s="1256"/>
      <c r="AO745" s="1257"/>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32">
        <f t="shared" si="39"/>
        <v>0</v>
      </c>
      <c r="CH745" s="1434"/>
      <c r="CI745" s="1432">
        <f t="shared" si="40"/>
        <v>0</v>
      </c>
      <c r="CJ745" s="1434"/>
      <c r="CK745" s="1432">
        <f t="shared" si="18"/>
        <v>0</v>
      </c>
      <c r="CL745" s="1434"/>
      <c r="CM745" s="1432">
        <f t="shared" si="19"/>
        <v>0</v>
      </c>
      <c r="CN745" s="1434"/>
      <c r="CO745" s="3"/>
      <c r="CP745" s="1428">
        <f t="shared" si="20"/>
        <v>0</v>
      </c>
      <c r="CQ745" s="1429"/>
      <c r="CR745" s="1429"/>
      <c r="CS745" s="1429"/>
      <c r="CT745" s="1430"/>
      <c r="CU745" s="1426">
        <f t="shared" si="21"/>
        <v>0</v>
      </c>
      <c r="CV745" s="1426"/>
      <c r="CW745" s="1426"/>
      <c r="CX745" s="1426"/>
      <c r="CY745" s="1426"/>
      <c r="CZ745" s="1426">
        <f t="shared" si="22"/>
        <v>0</v>
      </c>
      <c r="DA745" s="1426"/>
      <c r="DB745" s="1426"/>
      <c r="DC745" s="1426"/>
      <c r="DD745" s="1426"/>
      <c r="DE745" s="1426">
        <f t="shared" si="23"/>
        <v>0</v>
      </c>
      <c r="DF745" s="1426"/>
      <c r="DG745" s="1426"/>
      <c r="DH745" s="1426"/>
      <c r="DI745" s="1426"/>
      <c r="DJ745" s="1426">
        <f t="shared" si="24"/>
        <v>0</v>
      </c>
      <c r="DK745" s="1426"/>
      <c r="DL745" s="1426"/>
      <c r="DM745" s="1426"/>
      <c r="DN745" s="1426"/>
      <c r="DO745" s="1426">
        <f t="shared" si="25"/>
        <v>0</v>
      </c>
      <c r="DP745" s="1426"/>
      <c r="DQ745" s="1426"/>
      <c r="DR745" s="1426"/>
      <c r="DS745" s="1426"/>
      <c r="DT745" s="257"/>
      <c r="DU745" s="1421">
        <f t="shared" si="26"/>
        <v>0</v>
      </c>
      <c r="DV745" s="1421"/>
      <c r="DW745" s="1421"/>
      <c r="DX745" s="1421"/>
      <c r="DY745" s="1421"/>
      <c r="DZ745" s="1421">
        <f t="shared" si="27"/>
        <v>0</v>
      </c>
      <c r="EA745" s="1421"/>
      <c r="EB745" s="1421"/>
      <c r="EC745" s="1421"/>
      <c r="ED745" s="1421"/>
      <c r="EE745" s="1421">
        <f t="shared" si="28"/>
        <v>0</v>
      </c>
      <c r="EF745" s="1421"/>
      <c r="EG745" s="1421"/>
      <c r="EH745" s="1421"/>
      <c r="EI745" s="1421"/>
      <c r="EJ745" s="1421">
        <f t="shared" si="29"/>
        <v>0</v>
      </c>
      <c r="EK745" s="1421"/>
      <c r="EL745" s="1421"/>
      <c r="EM745" s="1421"/>
      <c r="EN745" s="1421"/>
      <c r="EO745" s="1421">
        <f t="shared" si="30"/>
        <v>0</v>
      </c>
      <c r="EP745" s="1421"/>
      <c r="EQ745" s="1421"/>
      <c r="ER745" s="1421"/>
      <c r="ES745" s="1421"/>
      <c r="ET745" s="1421">
        <f t="shared" si="31"/>
        <v>0</v>
      </c>
      <c r="EU745" s="1421"/>
      <c r="EV745" s="1421"/>
      <c r="EW745" s="1421"/>
      <c r="EX745" s="1421"/>
      <c r="EZ745" s="1432" t="str">
        <f t="shared" si="32"/>
        <v/>
      </c>
      <c r="FA745" s="1433"/>
      <c r="FB745" s="1433"/>
      <c r="FC745" s="1433"/>
      <c r="FD745" s="1434"/>
      <c r="FE745" s="1432" t="str">
        <f t="shared" si="33"/>
        <v/>
      </c>
      <c r="FF745" s="1433"/>
      <c r="FG745" s="1433"/>
      <c r="FH745" s="1433"/>
      <c r="FI745" s="1434"/>
      <c r="FJ745" s="1432" t="str">
        <f t="shared" si="34"/>
        <v/>
      </c>
      <c r="FK745" s="1433"/>
      <c r="FL745" s="1433"/>
      <c r="FM745" s="1433"/>
      <c r="FN745" s="1434"/>
      <c r="FO745" s="1432" t="str">
        <f t="shared" si="35"/>
        <v/>
      </c>
      <c r="FP745" s="1433"/>
      <c r="FQ745" s="1433"/>
      <c r="FR745" s="1433"/>
      <c r="FS745" s="1434"/>
      <c r="FT745" s="1432" t="str">
        <f t="shared" si="36"/>
        <v/>
      </c>
      <c r="FU745" s="1433"/>
      <c r="FV745" s="1433"/>
      <c r="FW745" s="1433"/>
      <c r="FX745" s="1434"/>
      <c r="FY745" s="1432" t="str">
        <f t="shared" si="37"/>
        <v/>
      </c>
      <c r="FZ745" s="1433"/>
      <c r="GA745" s="1433"/>
      <c r="GB745" s="1433"/>
      <c r="GC745" s="1434"/>
    </row>
    <row r="746" spans="1:185" ht="12.95" customHeight="1">
      <c r="B746" s="1255"/>
      <c r="C746" s="1256"/>
      <c r="D746" s="1256"/>
      <c r="E746" s="1256"/>
      <c r="F746" s="1257"/>
      <c r="G746" s="1249"/>
      <c r="H746" s="1250"/>
      <c r="I746" s="1250"/>
      <c r="J746" s="1251"/>
      <c r="K746" s="1252"/>
      <c r="L746" s="1253"/>
      <c r="M746" s="1253"/>
      <c r="N746" s="1254"/>
      <c r="O746" s="1302"/>
      <c r="P746" s="1303"/>
      <c r="Q746" s="1303"/>
      <c r="R746" s="1303"/>
      <c r="S746" s="1304"/>
      <c r="T746" s="1302"/>
      <c r="U746" s="1303"/>
      <c r="V746" s="1303"/>
      <c r="W746" s="1304"/>
      <c r="X746" s="1305">
        <f t="shared" si="10"/>
        <v>0</v>
      </c>
      <c r="Y746" s="1300"/>
      <c r="Z746" s="1300"/>
      <c r="AA746" s="1300"/>
      <c r="AB746" s="1306"/>
      <c r="AC746" s="1307"/>
      <c r="AD746" s="1308"/>
      <c r="AE746" s="1308"/>
      <c r="AF746" s="1308"/>
      <c r="AG746" s="1309"/>
      <c r="AH746" s="1325" t="str">
        <f t="shared" si="38"/>
        <v/>
      </c>
      <c r="AI746" s="1326"/>
      <c r="AJ746" s="1327"/>
      <c r="AK746" s="1255" t="s">
        <v>826</v>
      </c>
      <c r="AL746" s="1256"/>
      <c r="AM746" s="1256"/>
      <c r="AN746" s="1256"/>
      <c r="AO746" s="1257"/>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32">
        <f t="shared" si="39"/>
        <v>0</v>
      </c>
      <c r="CH746" s="1434"/>
      <c r="CI746" s="1432">
        <f t="shared" si="40"/>
        <v>0</v>
      </c>
      <c r="CJ746" s="1434"/>
      <c r="CK746" s="1432">
        <f t="shared" si="18"/>
        <v>0</v>
      </c>
      <c r="CL746" s="1434"/>
      <c r="CM746" s="1432">
        <f t="shared" si="19"/>
        <v>0</v>
      </c>
      <c r="CN746" s="1434"/>
      <c r="CO746" s="3"/>
      <c r="CP746" s="1428">
        <f t="shared" si="20"/>
        <v>0</v>
      </c>
      <c r="CQ746" s="1429"/>
      <c r="CR746" s="1429"/>
      <c r="CS746" s="1429"/>
      <c r="CT746" s="1430"/>
      <c r="CU746" s="1426">
        <f t="shared" si="21"/>
        <v>0</v>
      </c>
      <c r="CV746" s="1426"/>
      <c r="CW746" s="1426"/>
      <c r="CX746" s="1426"/>
      <c r="CY746" s="1426"/>
      <c r="CZ746" s="1426">
        <f t="shared" si="22"/>
        <v>0</v>
      </c>
      <c r="DA746" s="1426"/>
      <c r="DB746" s="1426"/>
      <c r="DC746" s="1426"/>
      <c r="DD746" s="1426"/>
      <c r="DE746" s="1426">
        <f t="shared" si="23"/>
        <v>0</v>
      </c>
      <c r="DF746" s="1426"/>
      <c r="DG746" s="1426"/>
      <c r="DH746" s="1426"/>
      <c r="DI746" s="1426"/>
      <c r="DJ746" s="1426">
        <f t="shared" si="24"/>
        <v>0</v>
      </c>
      <c r="DK746" s="1426"/>
      <c r="DL746" s="1426"/>
      <c r="DM746" s="1426"/>
      <c r="DN746" s="1426"/>
      <c r="DO746" s="1426">
        <f t="shared" si="25"/>
        <v>0</v>
      </c>
      <c r="DP746" s="1426"/>
      <c r="DQ746" s="1426"/>
      <c r="DR746" s="1426"/>
      <c r="DS746" s="1426"/>
      <c r="DT746" s="257"/>
      <c r="DU746" s="1421">
        <f t="shared" si="26"/>
        <v>0</v>
      </c>
      <c r="DV746" s="1421"/>
      <c r="DW746" s="1421"/>
      <c r="DX746" s="1421"/>
      <c r="DY746" s="1421"/>
      <c r="DZ746" s="1421">
        <f t="shared" si="27"/>
        <v>0</v>
      </c>
      <c r="EA746" s="1421"/>
      <c r="EB746" s="1421"/>
      <c r="EC746" s="1421"/>
      <c r="ED746" s="1421"/>
      <c r="EE746" s="1421">
        <f t="shared" si="28"/>
        <v>0</v>
      </c>
      <c r="EF746" s="1421"/>
      <c r="EG746" s="1421"/>
      <c r="EH746" s="1421"/>
      <c r="EI746" s="1421"/>
      <c r="EJ746" s="1421">
        <f t="shared" si="29"/>
        <v>0</v>
      </c>
      <c r="EK746" s="1421"/>
      <c r="EL746" s="1421"/>
      <c r="EM746" s="1421"/>
      <c r="EN746" s="1421"/>
      <c r="EO746" s="1421">
        <f t="shared" si="30"/>
        <v>0</v>
      </c>
      <c r="EP746" s="1421"/>
      <c r="EQ746" s="1421"/>
      <c r="ER746" s="1421"/>
      <c r="ES746" s="1421"/>
      <c r="ET746" s="1421">
        <f t="shared" si="31"/>
        <v>0</v>
      </c>
      <c r="EU746" s="1421"/>
      <c r="EV746" s="1421"/>
      <c r="EW746" s="1421"/>
      <c r="EX746" s="1421"/>
      <c r="EZ746" s="1432" t="str">
        <f t="shared" si="32"/>
        <v/>
      </c>
      <c r="FA746" s="1433"/>
      <c r="FB746" s="1433"/>
      <c r="FC746" s="1433"/>
      <c r="FD746" s="1434"/>
      <c r="FE746" s="1432" t="str">
        <f t="shared" si="33"/>
        <v/>
      </c>
      <c r="FF746" s="1433"/>
      <c r="FG746" s="1433"/>
      <c r="FH746" s="1433"/>
      <c r="FI746" s="1434"/>
      <c r="FJ746" s="1432" t="str">
        <f t="shared" si="34"/>
        <v/>
      </c>
      <c r="FK746" s="1433"/>
      <c r="FL746" s="1433"/>
      <c r="FM746" s="1433"/>
      <c r="FN746" s="1434"/>
      <c r="FO746" s="1432" t="str">
        <f t="shared" si="35"/>
        <v/>
      </c>
      <c r="FP746" s="1433"/>
      <c r="FQ746" s="1433"/>
      <c r="FR746" s="1433"/>
      <c r="FS746" s="1434"/>
      <c r="FT746" s="1432" t="str">
        <f t="shared" si="36"/>
        <v/>
      </c>
      <c r="FU746" s="1433"/>
      <c r="FV746" s="1433"/>
      <c r="FW746" s="1433"/>
      <c r="FX746" s="1434"/>
      <c r="FY746" s="1432" t="str">
        <f t="shared" si="37"/>
        <v/>
      </c>
      <c r="FZ746" s="1433"/>
      <c r="GA746" s="1433"/>
      <c r="GB746" s="1433"/>
      <c r="GC746" s="1434"/>
    </row>
    <row r="747" spans="1:185" ht="12.95" customHeight="1">
      <c r="B747" s="1255"/>
      <c r="C747" s="1256"/>
      <c r="D747" s="1256"/>
      <c r="E747" s="1256"/>
      <c r="F747" s="1257"/>
      <c r="G747" s="1249"/>
      <c r="H747" s="1250"/>
      <c r="I747" s="1250"/>
      <c r="J747" s="1251"/>
      <c r="K747" s="1252"/>
      <c r="L747" s="1253"/>
      <c r="M747" s="1253"/>
      <c r="N747" s="1254"/>
      <c r="O747" s="1302"/>
      <c r="P747" s="1303"/>
      <c r="Q747" s="1303"/>
      <c r="R747" s="1303"/>
      <c r="S747" s="1304"/>
      <c r="T747" s="1302"/>
      <c r="U747" s="1303"/>
      <c r="V747" s="1303"/>
      <c r="W747" s="1304"/>
      <c r="X747" s="1305">
        <f t="shared" si="10"/>
        <v>0</v>
      </c>
      <c r="Y747" s="1300"/>
      <c r="Z747" s="1300"/>
      <c r="AA747" s="1300"/>
      <c r="AB747" s="1306"/>
      <c r="AC747" s="1307"/>
      <c r="AD747" s="1308"/>
      <c r="AE747" s="1308"/>
      <c r="AF747" s="1308"/>
      <c r="AG747" s="1309"/>
      <c r="AH747" s="1325" t="str">
        <f t="shared" si="38"/>
        <v/>
      </c>
      <c r="AI747" s="1326"/>
      <c r="AJ747" s="1327"/>
      <c r="AK747" s="1255" t="s">
        <v>826</v>
      </c>
      <c r="AL747" s="1256"/>
      <c r="AM747" s="1256"/>
      <c r="AN747" s="1256"/>
      <c r="AO747" s="1257"/>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32">
        <f t="shared" si="39"/>
        <v>0</v>
      </c>
      <c r="CH747" s="1434"/>
      <c r="CI747" s="1432">
        <f t="shared" si="40"/>
        <v>0</v>
      </c>
      <c r="CJ747" s="1434"/>
      <c r="CK747" s="1432">
        <f t="shared" si="18"/>
        <v>0</v>
      </c>
      <c r="CL747" s="1434"/>
      <c r="CM747" s="1432">
        <f t="shared" si="19"/>
        <v>0</v>
      </c>
      <c r="CN747" s="1434"/>
      <c r="CO747" s="3"/>
      <c r="CP747" s="1428">
        <f t="shared" si="20"/>
        <v>0</v>
      </c>
      <c r="CQ747" s="1429"/>
      <c r="CR747" s="1429"/>
      <c r="CS747" s="1429"/>
      <c r="CT747" s="1430"/>
      <c r="CU747" s="1426">
        <f t="shared" si="21"/>
        <v>0</v>
      </c>
      <c r="CV747" s="1426"/>
      <c r="CW747" s="1426"/>
      <c r="CX747" s="1426"/>
      <c r="CY747" s="1426"/>
      <c r="CZ747" s="1426">
        <f t="shared" si="22"/>
        <v>0</v>
      </c>
      <c r="DA747" s="1426"/>
      <c r="DB747" s="1426"/>
      <c r="DC747" s="1426"/>
      <c r="DD747" s="1426"/>
      <c r="DE747" s="1426">
        <f t="shared" si="23"/>
        <v>0</v>
      </c>
      <c r="DF747" s="1426"/>
      <c r="DG747" s="1426"/>
      <c r="DH747" s="1426"/>
      <c r="DI747" s="1426"/>
      <c r="DJ747" s="1426">
        <f t="shared" si="24"/>
        <v>0</v>
      </c>
      <c r="DK747" s="1426"/>
      <c r="DL747" s="1426"/>
      <c r="DM747" s="1426"/>
      <c r="DN747" s="1426"/>
      <c r="DO747" s="1426">
        <f t="shared" si="25"/>
        <v>0</v>
      </c>
      <c r="DP747" s="1426"/>
      <c r="DQ747" s="1426"/>
      <c r="DR747" s="1426"/>
      <c r="DS747" s="1426"/>
      <c r="DT747" s="257"/>
      <c r="DU747" s="1421">
        <f t="shared" si="26"/>
        <v>0</v>
      </c>
      <c r="DV747" s="1421"/>
      <c r="DW747" s="1421"/>
      <c r="DX747" s="1421"/>
      <c r="DY747" s="1421"/>
      <c r="DZ747" s="1421">
        <f t="shared" si="27"/>
        <v>0</v>
      </c>
      <c r="EA747" s="1421"/>
      <c r="EB747" s="1421"/>
      <c r="EC747" s="1421"/>
      <c r="ED747" s="1421"/>
      <c r="EE747" s="1421">
        <f t="shared" si="28"/>
        <v>0</v>
      </c>
      <c r="EF747" s="1421"/>
      <c r="EG747" s="1421"/>
      <c r="EH747" s="1421"/>
      <c r="EI747" s="1421"/>
      <c r="EJ747" s="1421">
        <f t="shared" si="29"/>
        <v>0</v>
      </c>
      <c r="EK747" s="1421"/>
      <c r="EL747" s="1421"/>
      <c r="EM747" s="1421"/>
      <c r="EN747" s="1421"/>
      <c r="EO747" s="1421">
        <f t="shared" si="30"/>
        <v>0</v>
      </c>
      <c r="EP747" s="1421"/>
      <c r="EQ747" s="1421"/>
      <c r="ER747" s="1421"/>
      <c r="ES747" s="1421"/>
      <c r="ET747" s="1421">
        <f t="shared" si="31"/>
        <v>0</v>
      </c>
      <c r="EU747" s="1421"/>
      <c r="EV747" s="1421"/>
      <c r="EW747" s="1421"/>
      <c r="EX747" s="1421"/>
      <c r="EZ747" s="1432" t="str">
        <f t="shared" si="32"/>
        <v/>
      </c>
      <c r="FA747" s="1433"/>
      <c r="FB747" s="1433"/>
      <c r="FC747" s="1433"/>
      <c r="FD747" s="1434"/>
      <c r="FE747" s="1432" t="str">
        <f t="shared" si="33"/>
        <v/>
      </c>
      <c r="FF747" s="1433"/>
      <c r="FG747" s="1433"/>
      <c r="FH747" s="1433"/>
      <c r="FI747" s="1434"/>
      <c r="FJ747" s="1432" t="str">
        <f t="shared" si="34"/>
        <v/>
      </c>
      <c r="FK747" s="1433"/>
      <c r="FL747" s="1433"/>
      <c r="FM747" s="1433"/>
      <c r="FN747" s="1434"/>
      <c r="FO747" s="1432" t="str">
        <f t="shared" si="35"/>
        <v/>
      </c>
      <c r="FP747" s="1433"/>
      <c r="FQ747" s="1433"/>
      <c r="FR747" s="1433"/>
      <c r="FS747" s="1434"/>
      <c r="FT747" s="1432" t="str">
        <f t="shared" si="36"/>
        <v/>
      </c>
      <c r="FU747" s="1433"/>
      <c r="FV747" s="1433"/>
      <c r="FW747" s="1433"/>
      <c r="FX747" s="1434"/>
      <c r="FY747" s="1432" t="str">
        <f t="shared" si="37"/>
        <v/>
      </c>
      <c r="FZ747" s="1433"/>
      <c r="GA747" s="1433"/>
      <c r="GB747" s="1433"/>
      <c r="GC747" s="1434"/>
    </row>
    <row r="748" spans="1:185" ht="12.95" customHeight="1">
      <c r="B748" s="1255"/>
      <c r="C748" s="1256"/>
      <c r="D748" s="1256"/>
      <c r="E748" s="1256"/>
      <c r="F748" s="1257"/>
      <c r="G748" s="1249"/>
      <c r="H748" s="1250"/>
      <c r="I748" s="1250"/>
      <c r="J748" s="1251"/>
      <c r="K748" s="1252"/>
      <c r="L748" s="1253"/>
      <c r="M748" s="1253"/>
      <c r="N748" s="1254"/>
      <c r="O748" s="1302"/>
      <c r="P748" s="1303"/>
      <c r="Q748" s="1303"/>
      <c r="R748" s="1303"/>
      <c r="S748" s="1304"/>
      <c r="T748" s="1302"/>
      <c r="U748" s="1303"/>
      <c r="V748" s="1303"/>
      <c r="W748" s="1304"/>
      <c r="X748" s="1305">
        <f t="shared" si="10"/>
        <v>0</v>
      </c>
      <c r="Y748" s="1300"/>
      <c r="Z748" s="1300"/>
      <c r="AA748" s="1300"/>
      <c r="AB748" s="1306"/>
      <c r="AC748" s="1307"/>
      <c r="AD748" s="1308"/>
      <c r="AE748" s="1308"/>
      <c r="AF748" s="1308"/>
      <c r="AG748" s="1309"/>
      <c r="AH748" s="1325" t="str">
        <f t="shared" si="38"/>
        <v/>
      </c>
      <c r="AI748" s="1326"/>
      <c r="AJ748" s="1327"/>
      <c r="AK748" s="1255" t="s">
        <v>826</v>
      </c>
      <c r="AL748" s="1256"/>
      <c r="AM748" s="1256"/>
      <c r="AN748" s="1256"/>
      <c r="AO748" s="1257"/>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32">
        <f t="shared" si="39"/>
        <v>0</v>
      </c>
      <c r="CH748" s="1434"/>
      <c r="CI748" s="1432">
        <f t="shared" si="40"/>
        <v>0</v>
      </c>
      <c r="CJ748" s="1434"/>
      <c r="CK748" s="1432">
        <f t="shared" si="18"/>
        <v>0</v>
      </c>
      <c r="CL748" s="1434"/>
      <c r="CM748" s="1432">
        <f t="shared" si="19"/>
        <v>0</v>
      </c>
      <c r="CN748" s="1434"/>
      <c r="CO748" s="3"/>
      <c r="CP748" s="1428">
        <f t="shared" si="20"/>
        <v>0</v>
      </c>
      <c r="CQ748" s="1429"/>
      <c r="CR748" s="1429"/>
      <c r="CS748" s="1429"/>
      <c r="CT748" s="1430"/>
      <c r="CU748" s="1426">
        <f t="shared" si="21"/>
        <v>0</v>
      </c>
      <c r="CV748" s="1426"/>
      <c r="CW748" s="1426"/>
      <c r="CX748" s="1426"/>
      <c r="CY748" s="1426"/>
      <c r="CZ748" s="1426">
        <f t="shared" si="22"/>
        <v>0</v>
      </c>
      <c r="DA748" s="1426"/>
      <c r="DB748" s="1426"/>
      <c r="DC748" s="1426"/>
      <c r="DD748" s="1426"/>
      <c r="DE748" s="1426">
        <f t="shared" si="23"/>
        <v>0</v>
      </c>
      <c r="DF748" s="1426"/>
      <c r="DG748" s="1426"/>
      <c r="DH748" s="1426"/>
      <c r="DI748" s="1426"/>
      <c r="DJ748" s="1426">
        <f t="shared" si="24"/>
        <v>0</v>
      </c>
      <c r="DK748" s="1426"/>
      <c r="DL748" s="1426"/>
      <c r="DM748" s="1426"/>
      <c r="DN748" s="1426"/>
      <c r="DO748" s="1426">
        <f t="shared" si="25"/>
        <v>0</v>
      </c>
      <c r="DP748" s="1426"/>
      <c r="DQ748" s="1426"/>
      <c r="DR748" s="1426"/>
      <c r="DS748" s="1426"/>
      <c r="DT748" s="257"/>
      <c r="DU748" s="1421">
        <f t="shared" si="26"/>
        <v>0</v>
      </c>
      <c r="DV748" s="1421"/>
      <c r="DW748" s="1421"/>
      <c r="DX748" s="1421"/>
      <c r="DY748" s="1421"/>
      <c r="DZ748" s="1421">
        <f t="shared" si="27"/>
        <v>0</v>
      </c>
      <c r="EA748" s="1421"/>
      <c r="EB748" s="1421"/>
      <c r="EC748" s="1421"/>
      <c r="ED748" s="1421"/>
      <c r="EE748" s="1421">
        <f t="shared" si="28"/>
        <v>0</v>
      </c>
      <c r="EF748" s="1421"/>
      <c r="EG748" s="1421"/>
      <c r="EH748" s="1421"/>
      <c r="EI748" s="1421"/>
      <c r="EJ748" s="1421">
        <f t="shared" si="29"/>
        <v>0</v>
      </c>
      <c r="EK748" s="1421"/>
      <c r="EL748" s="1421"/>
      <c r="EM748" s="1421"/>
      <c r="EN748" s="1421"/>
      <c r="EO748" s="1421">
        <f t="shared" si="30"/>
        <v>0</v>
      </c>
      <c r="EP748" s="1421"/>
      <c r="EQ748" s="1421"/>
      <c r="ER748" s="1421"/>
      <c r="ES748" s="1421"/>
      <c r="ET748" s="1421">
        <f t="shared" si="31"/>
        <v>0</v>
      </c>
      <c r="EU748" s="1421"/>
      <c r="EV748" s="1421"/>
      <c r="EW748" s="1421"/>
      <c r="EX748" s="1421"/>
      <c r="EZ748" s="1432" t="str">
        <f t="shared" si="32"/>
        <v/>
      </c>
      <c r="FA748" s="1433"/>
      <c r="FB748" s="1433"/>
      <c r="FC748" s="1433"/>
      <c r="FD748" s="1434"/>
      <c r="FE748" s="1432" t="str">
        <f t="shared" si="33"/>
        <v/>
      </c>
      <c r="FF748" s="1433"/>
      <c r="FG748" s="1433"/>
      <c r="FH748" s="1433"/>
      <c r="FI748" s="1434"/>
      <c r="FJ748" s="1432" t="str">
        <f t="shared" si="34"/>
        <v/>
      </c>
      <c r="FK748" s="1433"/>
      <c r="FL748" s="1433"/>
      <c r="FM748" s="1433"/>
      <c r="FN748" s="1434"/>
      <c r="FO748" s="1432" t="str">
        <f t="shared" si="35"/>
        <v/>
      </c>
      <c r="FP748" s="1433"/>
      <c r="FQ748" s="1433"/>
      <c r="FR748" s="1433"/>
      <c r="FS748" s="1434"/>
      <c r="FT748" s="1432" t="str">
        <f t="shared" si="36"/>
        <v/>
      </c>
      <c r="FU748" s="1433"/>
      <c r="FV748" s="1433"/>
      <c r="FW748" s="1433"/>
      <c r="FX748" s="1434"/>
      <c r="FY748" s="1432" t="str">
        <f t="shared" si="37"/>
        <v/>
      </c>
      <c r="FZ748" s="1433"/>
      <c r="GA748" s="1433"/>
      <c r="GB748" s="1433"/>
      <c r="GC748" s="1434"/>
    </row>
    <row r="749" spans="1:185" ht="12.95" customHeight="1">
      <c r="B749" s="1255"/>
      <c r="C749" s="1256"/>
      <c r="D749" s="1256"/>
      <c r="E749" s="1256"/>
      <c r="F749" s="1257"/>
      <c r="G749" s="1249"/>
      <c r="H749" s="1250"/>
      <c r="I749" s="1250"/>
      <c r="J749" s="1251"/>
      <c r="K749" s="1252"/>
      <c r="L749" s="1253"/>
      <c r="M749" s="1253"/>
      <c r="N749" s="1254"/>
      <c r="O749" s="1302"/>
      <c r="P749" s="1303"/>
      <c r="Q749" s="1303"/>
      <c r="R749" s="1303"/>
      <c r="S749" s="1304"/>
      <c r="T749" s="1302"/>
      <c r="U749" s="1303"/>
      <c r="V749" s="1303"/>
      <c r="W749" s="1304"/>
      <c r="X749" s="1305">
        <f t="shared" si="10"/>
        <v>0</v>
      </c>
      <c r="Y749" s="1300"/>
      <c r="Z749" s="1300"/>
      <c r="AA749" s="1300"/>
      <c r="AB749" s="1306"/>
      <c r="AC749" s="1307"/>
      <c r="AD749" s="1308"/>
      <c r="AE749" s="1308"/>
      <c r="AF749" s="1308"/>
      <c r="AG749" s="1309"/>
      <c r="AH749" s="1325" t="str">
        <f t="shared" si="38"/>
        <v/>
      </c>
      <c r="AI749" s="1326"/>
      <c r="AJ749" s="1327"/>
      <c r="AK749" s="1255" t="s">
        <v>826</v>
      </c>
      <c r="AL749" s="1256"/>
      <c r="AM749" s="1256"/>
      <c r="AN749" s="1256"/>
      <c r="AO749" s="1257"/>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32">
        <f t="shared" si="39"/>
        <v>0</v>
      </c>
      <c r="CH749" s="1434"/>
      <c r="CI749" s="1432">
        <f t="shared" si="40"/>
        <v>0</v>
      </c>
      <c r="CJ749" s="1434"/>
      <c r="CK749" s="1432">
        <f t="shared" si="18"/>
        <v>0</v>
      </c>
      <c r="CL749" s="1434"/>
      <c r="CM749" s="1432">
        <f t="shared" si="19"/>
        <v>0</v>
      </c>
      <c r="CN749" s="1434"/>
      <c r="CO749" s="3"/>
      <c r="CP749" s="1428">
        <f t="shared" si="20"/>
        <v>0</v>
      </c>
      <c r="CQ749" s="1429"/>
      <c r="CR749" s="1429"/>
      <c r="CS749" s="1429"/>
      <c r="CT749" s="1430"/>
      <c r="CU749" s="1426">
        <f t="shared" si="21"/>
        <v>0</v>
      </c>
      <c r="CV749" s="1426"/>
      <c r="CW749" s="1426"/>
      <c r="CX749" s="1426"/>
      <c r="CY749" s="1426"/>
      <c r="CZ749" s="1426">
        <f t="shared" si="22"/>
        <v>0</v>
      </c>
      <c r="DA749" s="1426"/>
      <c r="DB749" s="1426"/>
      <c r="DC749" s="1426"/>
      <c r="DD749" s="1426"/>
      <c r="DE749" s="1426">
        <f t="shared" si="23"/>
        <v>0</v>
      </c>
      <c r="DF749" s="1426"/>
      <c r="DG749" s="1426"/>
      <c r="DH749" s="1426"/>
      <c r="DI749" s="1426"/>
      <c r="DJ749" s="1426">
        <f t="shared" si="24"/>
        <v>0</v>
      </c>
      <c r="DK749" s="1426"/>
      <c r="DL749" s="1426"/>
      <c r="DM749" s="1426"/>
      <c r="DN749" s="1426"/>
      <c r="DO749" s="1426">
        <f t="shared" si="25"/>
        <v>0</v>
      </c>
      <c r="DP749" s="1426"/>
      <c r="DQ749" s="1426"/>
      <c r="DR749" s="1426"/>
      <c r="DS749" s="1426"/>
      <c r="DT749" s="257"/>
      <c r="DU749" s="1421">
        <f t="shared" si="26"/>
        <v>0</v>
      </c>
      <c r="DV749" s="1421"/>
      <c r="DW749" s="1421"/>
      <c r="DX749" s="1421"/>
      <c r="DY749" s="1421"/>
      <c r="DZ749" s="1421">
        <f t="shared" si="27"/>
        <v>0</v>
      </c>
      <c r="EA749" s="1421"/>
      <c r="EB749" s="1421"/>
      <c r="EC749" s="1421"/>
      <c r="ED749" s="1421"/>
      <c r="EE749" s="1421">
        <f t="shared" si="28"/>
        <v>0</v>
      </c>
      <c r="EF749" s="1421"/>
      <c r="EG749" s="1421"/>
      <c r="EH749" s="1421"/>
      <c r="EI749" s="1421"/>
      <c r="EJ749" s="1421">
        <f t="shared" si="29"/>
        <v>0</v>
      </c>
      <c r="EK749" s="1421"/>
      <c r="EL749" s="1421"/>
      <c r="EM749" s="1421"/>
      <c r="EN749" s="1421"/>
      <c r="EO749" s="1421">
        <f t="shared" si="30"/>
        <v>0</v>
      </c>
      <c r="EP749" s="1421"/>
      <c r="EQ749" s="1421"/>
      <c r="ER749" s="1421"/>
      <c r="ES749" s="1421"/>
      <c r="ET749" s="1421">
        <f t="shared" si="31"/>
        <v>0</v>
      </c>
      <c r="EU749" s="1421"/>
      <c r="EV749" s="1421"/>
      <c r="EW749" s="1421"/>
      <c r="EX749" s="1421"/>
      <c r="EZ749" s="1432" t="str">
        <f t="shared" si="32"/>
        <v/>
      </c>
      <c r="FA749" s="1433"/>
      <c r="FB749" s="1433"/>
      <c r="FC749" s="1433"/>
      <c r="FD749" s="1434"/>
      <c r="FE749" s="1432" t="str">
        <f t="shared" si="33"/>
        <v/>
      </c>
      <c r="FF749" s="1433"/>
      <c r="FG749" s="1433"/>
      <c r="FH749" s="1433"/>
      <c r="FI749" s="1434"/>
      <c r="FJ749" s="1432" t="str">
        <f t="shared" si="34"/>
        <v/>
      </c>
      <c r="FK749" s="1433"/>
      <c r="FL749" s="1433"/>
      <c r="FM749" s="1433"/>
      <c r="FN749" s="1434"/>
      <c r="FO749" s="1432" t="str">
        <f t="shared" si="35"/>
        <v/>
      </c>
      <c r="FP749" s="1433"/>
      <c r="FQ749" s="1433"/>
      <c r="FR749" s="1433"/>
      <c r="FS749" s="1434"/>
      <c r="FT749" s="1432" t="str">
        <f t="shared" si="36"/>
        <v/>
      </c>
      <c r="FU749" s="1433"/>
      <c r="FV749" s="1433"/>
      <c r="FW749" s="1433"/>
      <c r="FX749" s="1434"/>
      <c r="FY749" s="1432" t="str">
        <f t="shared" si="37"/>
        <v/>
      </c>
      <c r="FZ749" s="1433"/>
      <c r="GA749" s="1433"/>
      <c r="GB749" s="1433"/>
      <c r="GC749" s="1434"/>
    </row>
    <row r="750" spans="1:185" ht="12.95" customHeight="1">
      <c r="B750" s="1255"/>
      <c r="C750" s="1256"/>
      <c r="D750" s="1256"/>
      <c r="E750" s="1256"/>
      <c r="F750" s="1257"/>
      <c r="G750" s="1249"/>
      <c r="H750" s="1250"/>
      <c r="I750" s="1250"/>
      <c r="J750" s="1251"/>
      <c r="K750" s="1252"/>
      <c r="L750" s="1253"/>
      <c r="M750" s="1253"/>
      <c r="N750" s="1254"/>
      <c r="O750" s="1302"/>
      <c r="P750" s="1303"/>
      <c r="Q750" s="1303"/>
      <c r="R750" s="1303"/>
      <c r="S750" s="1304"/>
      <c r="T750" s="1302"/>
      <c r="U750" s="1303"/>
      <c r="V750" s="1303"/>
      <c r="W750" s="1304"/>
      <c r="X750" s="1305">
        <f t="shared" ref="X750:X759" si="41">O750+T750</f>
        <v>0</v>
      </c>
      <c r="Y750" s="1300"/>
      <c r="Z750" s="1300"/>
      <c r="AA750" s="1300"/>
      <c r="AB750" s="1306"/>
      <c r="AC750" s="1307"/>
      <c r="AD750" s="1308"/>
      <c r="AE750" s="1308"/>
      <c r="AF750" s="1308"/>
      <c r="AG750" s="1309"/>
      <c r="AH750" s="1325" t="str">
        <f t="shared" si="38"/>
        <v/>
      </c>
      <c r="AI750" s="1326"/>
      <c r="AJ750" s="1327"/>
      <c r="AK750" s="1255" t="s">
        <v>826</v>
      </c>
      <c r="AL750" s="1256"/>
      <c r="AM750" s="1256"/>
      <c r="AN750" s="1256"/>
      <c r="AO750" s="1257"/>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32">
        <f t="shared" si="39"/>
        <v>0</v>
      </c>
      <c r="CH750" s="1434"/>
      <c r="CI750" s="1432">
        <f t="shared" si="40"/>
        <v>0</v>
      </c>
      <c r="CJ750" s="1434"/>
      <c r="CK750" s="1432">
        <f t="shared" si="18"/>
        <v>0</v>
      </c>
      <c r="CL750" s="1434"/>
      <c r="CM750" s="1432">
        <f t="shared" si="19"/>
        <v>0</v>
      </c>
      <c r="CN750" s="1434"/>
      <c r="CO750" s="3"/>
      <c r="CP750" s="1428">
        <f t="shared" si="20"/>
        <v>0</v>
      </c>
      <c r="CQ750" s="1429"/>
      <c r="CR750" s="1429"/>
      <c r="CS750" s="1429"/>
      <c r="CT750" s="1430"/>
      <c r="CU750" s="1426">
        <f t="shared" si="21"/>
        <v>0</v>
      </c>
      <c r="CV750" s="1426"/>
      <c r="CW750" s="1426"/>
      <c r="CX750" s="1426"/>
      <c r="CY750" s="1426"/>
      <c r="CZ750" s="1426">
        <f t="shared" si="22"/>
        <v>0</v>
      </c>
      <c r="DA750" s="1426"/>
      <c r="DB750" s="1426"/>
      <c r="DC750" s="1426"/>
      <c r="DD750" s="1426"/>
      <c r="DE750" s="1426">
        <f t="shared" si="23"/>
        <v>0</v>
      </c>
      <c r="DF750" s="1426"/>
      <c r="DG750" s="1426"/>
      <c r="DH750" s="1426"/>
      <c r="DI750" s="1426"/>
      <c r="DJ750" s="1426">
        <f t="shared" si="24"/>
        <v>0</v>
      </c>
      <c r="DK750" s="1426"/>
      <c r="DL750" s="1426"/>
      <c r="DM750" s="1426"/>
      <c r="DN750" s="1426"/>
      <c r="DO750" s="1426">
        <f t="shared" si="25"/>
        <v>0</v>
      </c>
      <c r="DP750" s="1426"/>
      <c r="DQ750" s="1426"/>
      <c r="DR750" s="1426"/>
      <c r="DS750" s="1426"/>
      <c r="DT750" s="257"/>
      <c r="DU750" s="1421">
        <f t="shared" si="26"/>
        <v>0</v>
      </c>
      <c r="DV750" s="1421"/>
      <c r="DW750" s="1421"/>
      <c r="DX750" s="1421"/>
      <c r="DY750" s="1421"/>
      <c r="DZ750" s="1421">
        <f t="shared" si="27"/>
        <v>0</v>
      </c>
      <c r="EA750" s="1421"/>
      <c r="EB750" s="1421"/>
      <c r="EC750" s="1421"/>
      <c r="ED750" s="1421"/>
      <c r="EE750" s="1421">
        <f t="shared" si="28"/>
        <v>0</v>
      </c>
      <c r="EF750" s="1421"/>
      <c r="EG750" s="1421"/>
      <c r="EH750" s="1421"/>
      <c r="EI750" s="1421"/>
      <c r="EJ750" s="1421">
        <f t="shared" si="29"/>
        <v>0</v>
      </c>
      <c r="EK750" s="1421"/>
      <c r="EL750" s="1421"/>
      <c r="EM750" s="1421"/>
      <c r="EN750" s="1421"/>
      <c r="EO750" s="1421">
        <f t="shared" si="30"/>
        <v>0</v>
      </c>
      <c r="EP750" s="1421"/>
      <c r="EQ750" s="1421"/>
      <c r="ER750" s="1421"/>
      <c r="ES750" s="1421"/>
      <c r="ET750" s="1421">
        <f t="shared" si="31"/>
        <v>0</v>
      </c>
      <c r="EU750" s="1421"/>
      <c r="EV750" s="1421"/>
      <c r="EW750" s="1421"/>
      <c r="EX750" s="1421"/>
      <c r="EZ750" s="1432" t="str">
        <f t="shared" si="32"/>
        <v/>
      </c>
      <c r="FA750" s="1433"/>
      <c r="FB750" s="1433"/>
      <c r="FC750" s="1433"/>
      <c r="FD750" s="1434"/>
      <c r="FE750" s="1432" t="str">
        <f t="shared" si="33"/>
        <v/>
      </c>
      <c r="FF750" s="1433"/>
      <c r="FG750" s="1433"/>
      <c r="FH750" s="1433"/>
      <c r="FI750" s="1434"/>
      <c r="FJ750" s="1432" t="str">
        <f t="shared" si="34"/>
        <v/>
      </c>
      <c r="FK750" s="1433"/>
      <c r="FL750" s="1433"/>
      <c r="FM750" s="1433"/>
      <c r="FN750" s="1434"/>
      <c r="FO750" s="1432" t="str">
        <f t="shared" si="35"/>
        <v/>
      </c>
      <c r="FP750" s="1433"/>
      <c r="FQ750" s="1433"/>
      <c r="FR750" s="1433"/>
      <c r="FS750" s="1434"/>
      <c r="FT750" s="1432" t="str">
        <f t="shared" si="36"/>
        <v/>
      </c>
      <c r="FU750" s="1433"/>
      <c r="FV750" s="1433"/>
      <c r="FW750" s="1433"/>
      <c r="FX750" s="1434"/>
      <c r="FY750" s="1432" t="str">
        <f t="shared" si="37"/>
        <v/>
      </c>
      <c r="FZ750" s="1433"/>
      <c r="GA750" s="1433"/>
      <c r="GB750" s="1433"/>
      <c r="GC750" s="1434"/>
    </row>
    <row r="751" spans="1:185" s="3" customFormat="1" ht="12.95" customHeight="1">
      <c r="A751"/>
      <c r="B751" s="1255"/>
      <c r="C751" s="1256"/>
      <c r="D751" s="1256"/>
      <c r="E751" s="1256"/>
      <c r="F751" s="1257"/>
      <c r="G751" s="1249"/>
      <c r="H751" s="1250"/>
      <c r="I751" s="1250"/>
      <c r="J751" s="1251"/>
      <c r="K751" s="1252"/>
      <c r="L751" s="1253"/>
      <c r="M751" s="1253"/>
      <c r="N751" s="1254"/>
      <c r="O751" s="1302"/>
      <c r="P751" s="1303"/>
      <c r="Q751" s="1303"/>
      <c r="R751" s="1303"/>
      <c r="S751" s="1304"/>
      <c r="T751" s="1302"/>
      <c r="U751" s="1303"/>
      <c r="V751" s="1303"/>
      <c r="W751" s="1304"/>
      <c r="X751" s="1305">
        <f t="shared" si="41"/>
        <v>0</v>
      </c>
      <c r="Y751" s="1300"/>
      <c r="Z751" s="1300"/>
      <c r="AA751" s="1300"/>
      <c r="AB751" s="1306"/>
      <c r="AC751" s="1307"/>
      <c r="AD751" s="1308"/>
      <c r="AE751" s="1308"/>
      <c r="AF751" s="1308"/>
      <c r="AG751" s="1309"/>
      <c r="AH751" s="1325" t="str">
        <f t="shared" si="38"/>
        <v/>
      </c>
      <c r="AI751" s="1326"/>
      <c r="AJ751" s="1327"/>
      <c r="AK751" s="1255" t="s">
        <v>826</v>
      </c>
      <c r="AL751" s="1256"/>
      <c r="AM751" s="1256"/>
      <c r="AN751" s="1256"/>
      <c r="AO751" s="1257"/>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32">
        <f t="shared" si="39"/>
        <v>0</v>
      </c>
      <c r="CH751" s="1434"/>
      <c r="CI751" s="1432">
        <f t="shared" si="40"/>
        <v>0</v>
      </c>
      <c r="CJ751" s="1434"/>
      <c r="CK751" s="1432">
        <f t="shared" si="18"/>
        <v>0</v>
      </c>
      <c r="CL751" s="1434"/>
      <c r="CM751" s="1432">
        <f t="shared" si="19"/>
        <v>0</v>
      </c>
      <c r="CN751" s="1434"/>
      <c r="CP751" s="1428">
        <f t="shared" si="20"/>
        <v>0</v>
      </c>
      <c r="CQ751" s="1429"/>
      <c r="CR751" s="1429"/>
      <c r="CS751" s="1429"/>
      <c r="CT751" s="1430"/>
      <c r="CU751" s="1426">
        <f t="shared" si="21"/>
        <v>0</v>
      </c>
      <c r="CV751" s="1426"/>
      <c r="CW751" s="1426"/>
      <c r="CX751" s="1426"/>
      <c r="CY751" s="1426"/>
      <c r="CZ751" s="1426">
        <f t="shared" si="22"/>
        <v>0</v>
      </c>
      <c r="DA751" s="1426"/>
      <c r="DB751" s="1426"/>
      <c r="DC751" s="1426"/>
      <c r="DD751" s="1426"/>
      <c r="DE751" s="1426">
        <f t="shared" si="23"/>
        <v>0</v>
      </c>
      <c r="DF751" s="1426"/>
      <c r="DG751" s="1426"/>
      <c r="DH751" s="1426"/>
      <c r="DI751" s="1426"/>
      <c r="DJ751" s="1426">
        <f t="shared" si="24"/>
        <v>0</v>
      </c>
      <c r="DK751" s="1426"/>
      <c r="DL751" s="1426"/>
      <c r="DM751" s="1426"/>
      <c r="DN751" s="1426"/>
      <c r="DO751" s="1426">
        <f t="shared" si="25"/>
        <v>0</v>
      </c>
      <c r="DP751" s="1426"/>
      <c r="DQ751" s="1426"/>
      <c r="DR751" s="1426"/>
      <c r="DS751" s="1426"/>
      <c r="DT751" s="257"/>
      <c r="DU751" s="1421">
        <f t="shared" si="26"/>
        <v>0</v>
      </c>
      <c r="DV751" s="1421"/>
      <c r="DW751" s="1421"/>
      <c r="DX751" s="1421"/>
      <c r="DY751" s="1421"/>
      <c r="DZ751" s="1421">
        <f t="shared" si="27"/>
        <v>0</v>
      </c>
      <c r="EA751" s="1421"/>
      <c r="EB751" s="1421"/>
      <c r="EC751" s="1421"/>
      <c r="ED751" s="1421"/>
      <c r="EE751" s="1421">
        <f t="shared" si="28"/>
        <v>0</v>
      </c>
      <c r="EF751" s="1421"/>
      <c r="EG751" s="1421"/>
      <c r="EH751" s="1421"/>
      <c r="EI751" s="1421"/>
      <c r="EJ751" s="1421">
        <f t="shared" si="29"/>
        <v>0</v>
      </c>
      <c r="EK751" s="1421"/>
      <c r="EL751" s="1421"/>
      <c r="EM751" s="1421"/>
      <c r="EN751" s="1421"/>
      <c r="EO751" s="1421">
        <f t="shared" si="30"/>
        <v>0</v>
      </c>
      <c r="EP751" s="1421"/>
      <c r="EQ751" s="1421"/>
      <c r="ER751" s="1421"/>
      <c r="ES751" s="1421"/>
      <c r="ET751" s="1421">
        <f t="shared" si="31"/>
        <v>0</v>
      </c>
      <c r="EU751" s="1421"/>
      <c r="EV751" s="1421"/>
      <c r="EW751" s="1421"/>
      <c r="EX751" s="1421"/>
      <c r="EY751"/>
      <c r="EZ751" s="1432" t="str">
        <f t="shared" si="32"/>
        <v/>
      </c>
      <c r="FA751" s="1433"/>
      <c r="FB751" s="1433"/>
      <c r="FC751" s="1433"/>
      <c r="FD751" s="1434"/>
      <c r="FE751" s="1432" t="str">
        <f t="shared" si="33"/>
        <v/>
      </c>
      <c r="FF751" s="1433"/>
      <c r="FG751" s="1433"/>
      <c r="FH751" s="1433"/>
      <c r="FI751" s="1434"/>
      <c r="FJ751" s="1432" t="str">
        <f t="shared" si="34"/>
        <v/>
      </c>
      <c r="FK751" s="1433"/>
      <c r="FL751" s="1433"/>
      <c r="FM751" s="1433"/>
      <c r="FN751" s="1434"/>
      <c r="FO751" s="1432" t="str">
        <f t="shared" si="35"/>
        <v/>
      </c>
      <c r="FP751" s="1433"/>
      <c r="FQ751" s="1433"/>
      <c r="FR751" s="1433"/>
      <c r="FS751" s="1434"/>
      <c r="FT751" s="1432" t="str">
        <f t="shared" si="36"/>
        <v/>
      </c>
      <c r="FU751" s="1433"/>
      <c r="FV751" s="1433"/>
      <c r="FW751" s="1433"/>
      <c r="FX751" s="1434"/>
      <c r="FY751" s="1432" t="str">
        <f t="shared" si="37"/>
        <v/>
      </c>
      <c r="FZ751" s="1433"/>
      <c r="GA751" s="1433"/>
      <c r="GB751" s="1433"/>
      <c r="GC751" s="1434"/>
    </row>
    <row r="752" spans="1:185" ht="12.95" customHeight="1">
      <c r="B752" s="1255"/>
      <c r="C752" s="1256"/>
      <c r="D752" s="1256"/>
      <c r="E752" s="1256"/>
      <c r="F752" s="1257"/>
      <c r="G752" s="1249"/>
      <c r="H752" s="1250"/>
      <c r="I752" s="1250"/>
      <c r="J752" s="1251"/>
      <c r="K752" s="1252"/>
      <c r="L752" s="1253"/>
      <c r="M752" s="1253"/>
      <c r="N752" s="1254"/>
      <c r="O752" s="1302"/>
      <c r="P752" s="1303"/>
      <c r="Q752" s="1303"/>
      <c r="R752" s="1303"/>
      <c r="S752" s="1304"/>
      <c r="T752" s="1302"/>
      <c r="U752" s="1303"/>
      <c r="V752" s="1303"/>
      <c r="W752" s="1304"/>
      <c r="X752" s="1305">
        <f t="shared" si="41"/>
        <v>0</v>
      </c>
      <c r="Y752" s="1300"/>
      <c r="Z752" s="1300"/>
      <c r="AA752" s="1300"/>
      <c r="AB752" s="1306"/>
      <c r="AC752" s="1307"/>
      <c r="AD752" s="1308"/>
      <c r="AE752" s="1308"/>
      <c r="AF752" s="1308"/>
      <c r="AG752" s="1309"/>
      <c r="AH752" s="1325" t="str">
        <f t="shared" si="38"/>
        <v/>
      </c>
      <c r="AI752" s="1326"/>
      <c r="AJ752" s="1327"/>
      <c r="AK752" s="1255" t="s">
        <v>826</v>
      </c>
      <c r="AL752" s="1256"/>
      <c r="AM752" s="1256"/>
      <c r="AN752" s="1256"/>
      <c r="AO752" s="1257"/>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32">
        <f t="shared" si="39"/>
        <v>0</v>
      </c>
      <c r="CH752" s="1434"/>
      <c r="CI752" s="1432">
        <f t="shared" si="40"/>
        <v>0</v>
      </c>
      <c r="CJ752" s="1434"/>
      <c r="CK752" s="1432">
        <f t="shared" si="18"/>
        <v>0</v>
      </c>
      <c r="CL752" s="1434"/>
      <c r="CM752" s="1432">
        <f t="shared" si="19"/>
        <v>0</v>
      </c>
      <c r="CN752" s="1434"/>
      <c r="CO752" s="3"/>
      <c r="CP752" s="1428">
        <f t="shared" si="20"/>
        <v>0</v>
      </c>
      <c r="CQ752" s="1429"/>
      <c r="CR752" s="1429"/>
      <c r="CS752" s="1429"/>
      <c r="CT752" s="1430"/>
      <c r="CU752" s="1426">
        <f t="shared" si="21"/>
        <v>0</v>
      </c>
      <c r="CV752" s="1426"/>
      <c r="CW752" s="1426"/>
      <c r="CX752" s="1426"/>
      <c r="CY752" s="1426"/>
      <c r="CZ752" s="1426">
        <f t="shared" si="22"/>
        <v>0</v>
      </c>
      <c r="DA752" s="1426"/>
      <c r="DB752" s="1426"/>
      <c r="DC752" s="1426"/>
      <c r="DD752" s="1426"/>
      <c r="DE752" s="1426">
        <f t="shared" si="23"/>
        <v>0</v>
      </c>
      <c r="DF752" s="1426"/>
      <c r="DG752" s="1426"/>
      <c r="DH752" s="1426"/>
      <c r="DI752" s="1426"/>
      <c r="DJ752" s="1426">
        <f t="shared" si="24"/>
        <v>0</v>
      </c>
      <c r="DK752" s="1426"/>
      <c r="DL752" s="1426"/>
      <c r="DM752" s="1426"/>
      <c r="DN752" s="1426"/>
      <c r="DO752" s="1426">
        <f t="shared" si="25"/>
        <v>0</v>
      </c>
      <c r="DP752" s="1426"/>
      <c r="DQ752" s="1426"/>
      <c r="DR752" s="1426"/>
      <c r="DS752" s="1426"/>
      <c r="DT752" s="257"/>
      <c r="DU752" s="1421">
        <f t="shared" si="26"/>
        <v>0</v>
      </c>
      <c r="DV752" s="1421"/>
      <c r="DW752" s="1421"/>
      <c r="DX752" s="1421"/>
      <c r="DY752" s="1421"/>
      <c r="DZ752" s="1421">
        <f t="shared" si="27"/>
        <v>0</v>
      </c>
      <c r="EA752" s="1421"/>
      <c r="EB752" s="1421"/>
      <c r="EC752" s="1421"/>
      <c r="ED752" s="1421"/>
      <c r="EE752" s="1421">
        <f t="shared" si="28"/>
        <v>0</v>
      </c>
      <c r="EF752" s="1421"/>
      <c r="EG752" s="1421"/>
      <c r="EH752" s="1421"/>
      <c r="EI752" s="1421"/>
      <c r="EJ752" s="1421">
        <f t="shared" si="29"/>
        <v>0</v>
      </c>
      <c r="EK752" s="1421"/>
      <c r="EL752" s="1421"/>
      <c r="EM752" s="1421"/>
      <c r="EN752" s="1421"/>
      <c r="EO752" s="1421">
        <f t="shared" si="30"/>
        <v>0</v>
      </c>
      <c r="EP752" s="1421"/>
      <c r="EQ752" s="1421"/>
      <c r="ER752" s="1421"/>
      <c r="ES752" s="1421"/>
      <c r="ET752" s="1421">
        <f t="shared" si="31"/>
        <v>0</v>
      </c>
      <c r="EU752" s="1421"/>
      <c r="EV752" s="1421"/>
      <c r="EW752" s="1421"/>
      <c r="EX752" s="1421"/>
      <c r="EZ752" s="1432" t="str">
        <f t="shared" si="32"/>
        <v/>
      </c>
      <c r="FA752" s="1433"/>
      <c r="FB752" s="1433"/>
      <c r="FC752" s="1433"/>
      <c r="FD752" s="1434"/>
      <c r="FE752" s="1432" t="str">
        <f t="shared" si="33"/>
        <v/>
      </c>
      <c r="FF752" s="1433"/>
      <c r="FG752" s="1433"/>
      <c r="FH752" s="1433"/>
      <c r="FI752" s="1434"/>
      <c r="FJ752" s="1432" t="str">
        <f t="shared" si="34"/>
        <v/>
      </c>
      <c r="FK752" s="1433"/>
      <c r="FL752" s="1433"/>
      <c r="FM752" s="1433"/>
      <c r="FN752" s="1434"/>
      <c r="FO752" s="1432" t="str">
        <f t="shared" si="35"/>
        <v/>
      </c>
      <c r="FP752" s="1433"/>
      <c r="FQ752" s="1433"/>
      <c r="FR752" s="1433"/>
      <c r="FS752" s="1434"/>
      <c r="FT752" s="1432" t="str">
        <f t="shared" si="36"/>
        <v/>
      </c>
      <c r="FU752" s="1433"/>
      <c r="FV752" s="1433"/>
      <c r="FW752" s="1433"/>
      <c r="FX752" s="1434"/>
      <c r="FY752" s="1432" t="str">
        <f t="shared" si="37"/>
        <v/>
      </c>
      <c r="FZ752" s="1433"/>
      <c r="GA752" s="1433"/>
      <c r="GB752" s="1433"/>
      <c r="GC752" s="1434"/>
    </row>
    <row r="753" spans="1:185" ht="12.95" customHeight="1">
      <c r="B753" s="1255"/>
      <c r="C753" s="1256"/>
      <c r="D753" s="1256"/>
      <c r="E753" s="1256"/>
      <c r="F753" s="1257"/>
      <c r="G753" s="1249"/>
      <c r="H753" s="1250"/>
      <c r="I753" s="1250"/>
      <c r="J753" s="1251"/>
      <c r="K753" s="1252"/>
      <c r="L753" s="1253"/>
      <c r="M753" s="1253"/>
      <c r="N753" s="1254"/>
      <c r="O753" s="1302"/>
      <c r="P753" s="1303"/>
      <c r="Q753" s="1303"/>
      <c r="R753" s="1303"/>
      <c r="S753" s="1304"/>
      <c r="T753" s="1302"/>
      <c r="U753" s="1303"/>
      <c r="V753" s="1303"/>
      <c r="W753" s="1304"/>
      <c r="X753" s="1305">
        <f t="shared" si="41"/>
        <v>0</v>
      </c>
      <c r="Y753" s="1300"/>
      <c r="Z753" s="1300"/>
      <c r="AA753" s="1300"/>
      <c r="AB753" s="1306"/>
      <c r="AC753" s="1307"/>
      <c r="AD753" s="1308"/>
      <c r="AE753" s="1308"/>
      <c r="AF753" s="1308"/>
      <c r="AG753" s="1309"/>
      <c r="AH753" s="1325" t="str">
        <f t="shared" si="38"/>
        <v/>
      </c>
      <c r="AI753" s="1326"/>
      <c r="AJ753" s="1327"/>
      <c r="AK753" s="1255" t="s">
        <v>826</v>
      </c>
      <c r="AL753" s="1256"/>
      <c r="AM753" s="1256"/>
      <c r="AN753" s="1256"/>
      <c r="AO753" s="1257"/>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32">
        <f t="shared" si="39"/>
        <v>0</v>
      </c>
      <c r="CH753" s="1434"/>
      <c r="CI753" s="1432">
        <f t="shared" si="40"/>
        <v>0</v>
      </c>
      <c r="CJ753" s="1434"/>
      <c r="CK753" s="1432">
        <f t="shared" si="18"/>
        <v>0</v>
      </c>
      <c r="CL753" s="1434"/>
      <c r="CM753" s="1432">
        <f t="shared" si="19"/>
        <v>0</v>
      </c>
      <c r="CN753" s="1434"/>
      <c r="CO753" s="3"/>
      <c r="CP753" s="1428">
        <f t="shared" si="20"/>
        <v>0</v>
      </c>
      <c r="CQ753" s="1429"/>
      <c r="CR753" s="1429"/>
      <c r="CS753" s="1429"/>
      <c r="CT753" s="1430"/>
      <c r="CU753" s="1426">
        <f t="shared" si="21"/>
        <v>0</v>
      </c>
      <c r="CV753" s="1426"/>
      <c r="CW753" s="1426"/>
      <c r="CX753" s="1426"/>
      <c r="CY753" s="1426"/>
      <c r="CZ753" s="1426">
        <f t="shared" si="22"/>
        <v>0</v>
      </c>
      <c r="DA753" s="1426"/>
      <c r="DB753" s="1426"/>
      <c r="DC753" s="1426"/>
      <c r="DD753" s="1426"/>
      <c r="DE753" s="1426">
        <f t="shared" si="23"/>
        <v>0</v>
      </c>
      <c r="DF753" s="1426"/>
      <c r="DG753" s="1426"/>
      <c r="DH753" s="1426"/>
      <c r="DI753" s="1426"/>
      <c r="DJ753" s="1426">
        <f t="shared" si="24"/>
        <v>0</v>
      </c>
      <c r="DK753" s="1426"/>
      <c r="DL753" s="1426"/>
      <c r="DM753" s="1426"/>
      <c r="DN753" s="1426"/>
      <c r="DO753" s="1426">
        <f t="shared" si="25"/>
        <v>0</v>
      </c>
      <c r="DP753" s="1426"/>
      <c r="DQ753" s="1426"/>
      <c r="DR753" s="1426"/>
      <c r="DS753" s="1426"/>
      <c r="DT753" s="257"/>
      <c r="DU753" s="1421">
        <f t="shared" si="26"/>
        <v>0</v>
      </c>
      <c r="DV753" s="1421"/>
      <c r="DW753" s="1421"/>
      <c r="DX753" s="1421"/>
      <c r="DY753" s="1421"/>
      <c r="DZ753" s="1421">
        <f t="shared" si="27"/>
        <v>0</v>
      </c>
      <c r="EA753" s="1421"/>
      <c r="EB753" s="1421"/>
      <c r="EC753" s="1421"/>
      <c r="ED753" s="1421"/>
      <c r="EE753" s="1421">
        <f t="shared" si="28"/>
        <v>0</v>
      </c>
      <c r="EF753" s="1421"/>
      <c r="EG753" s="1421"/>
      <c r="EH753" s="1421"/>
      <c r="EI753" s="1421"/>
      <c r="EJ753" s="1421">
        <f t="shared" si="29"/>
        <v>0</v>
      </c>
      <c r="EK753" s="1421"/>
      <c r="EL753" s="1421"/>
      <c r="EM753" s="1421"/>
      <c r="EN753" s="1421"/>
      <c r="EO753" s="1421">
        <f t="shared" si="30"/>
        <v>0</v>
      </c>
      <c r="EP753" s="1421"/>
      <c r="EQ753" s="1421"/>
      <c r="ER753" s="1421"/>
      <c r="ES753" s="1421"/>
      <c r="ET753" s="1421">
        <f t="shared" si="31"/>
        <v>0</v>
      </c>
      <c r="EU753" s="1421"/>
      <c r="EV753" s="1421"/>
      <c r="EW753" s="1421"/>
      <c r="EX753" s="1421"/>
      <c r="EZ753" s="1432" t="str">
        <f t="shared" si="32"/>
        <v/>
      </c>
      <c r="FA753" s="1433"/>
      <c r="FB753" s="1433"/>
      <c r="FC753" s="1433"/>
      <c r="FD753" s="1434"/>
      <c r="FE753" s="1432" t="str">
        <f t="shared" si="33"/>
        <v/>
      </c>
      <c r="FF753" s="1433"/>
      <c r="FG753" s="1433"/>
      <c r="FH753" s="1433"/>
      <c r="FI753" s="1434"/>
      <c r="FJ753" s="1432" t="str">
        <f t="shared" si="34"/>
        <v/>
      </c>
      <c r="FK753" s="1433"/>
      <c r="FL753" s="1433"/>
      <c r="FM753" s="1433"/>
      <c r="FN753" s="1434"/>
      <c r="FO753" s="1432" t="str">
        <f t="shared" si="35"/>
        <v/>
      </c>
      <c r="FP753" s="1433"/>
      <c r="FQ753" s="1433"/>
      <c r="FR753" s="1433"/>
      <c r="FS753" s="1434"/>
      <c r="FT753" s="1432" t="str">
        <f t="shared" si="36"/>
        <v/>
      </c>
      <c r="FU753" s="1433"/>
      <c r="FV753" s="1433"/>
      <c r="FW753" s="1433"/>
      <c r="FX753" s="1434"/>
      <c r="FY753" s="1432" t="str">
        <f t="shared" si="37"/>
        <v/>
      </c>
      <c r="FZ753" s="1433"/>
      <c r="GA753" s="1433"/>
      <c r="GB753" s="1433"/>
      <c r="GC753" s="1434"/>
    </row>
    <row r="754" spans="1:185" ht="12.95" customHeight="1">
      <c r="B754" s="1255"/>
      <c r="C754" s="1256"/>
      <c r="D754" s="1256"/>
      <c r="E754" s="1256"/>
      <c r="F754" s="1257"/>
      <c r="G754" s="1249"/>
      <c r="H754" s="1250"/>
      <c r="I754" s="1250"/>
      <c r="J754" s="1251"/>
      <c r="K754" s="1252"/>
      <c r="L754" s="1253"/>
      <c r="M754" s="1253"/>
      <c r="N754" s="1254"/>
      <c r="O754" s="1302"/>
      <c r="P754" s="1303"/>
      <c r="Q754" s="1303"/>
      <c r="R754" s="1303"/>
      <c r="S754" s="1304"/>
      <c r="T754" s="1302"/>
      <c r="U754" s="1303"/>
      <c r="V754" s="1303"/>
      <c r="W754" s="1304"/>
      <c r="X754" s="1305">
        <f t="shared" si="41"/>
        <v>0</v>
      </c>
      <c r="Y754" s="1300"/>
      <c r="Z754" s="1300"/>
      <c r="AA754" s="1300"/>
      <c r="AB754" s="1306"/>
      <c r="AC754" s="1307"/>
      <c r="AD754" s="1308"/>
      <c r="AE754" s="1308"/>
      <c r="AF754" s="1308"/>
      <c r="AG754" s="1309"/>
      <c r="AH754" s="1325" t="str">
        <f t="shared" si="38"/>
        <v/>
      </c>
      <c r="AI754" s="1326"/>
      <c r="AJ754" s="1327"/>
      <c r="AK754" s="1255" t="s">
        <v>826</v>
      </c>
      <c r="AL754" s="1256"/>
      <c r="AM754" s="1256"/>
      <c r="AN754" s="1256"/>
      <c r="AO754" s="1257"/>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32">
        <f t="shared" si="39"/>
        <v>0</v>
      </c>
      <c r="CH754" s="1434"/>
      <c r="CI754" s="1432">
        <f t="shared" si="40"/>
        <v>0</v>
      </c>
      <c r="CJ754" s="1434"/>
      <c r="CK754" s="1432">
        <f t="shared" si="18"/>
        <v>0</v>
      </c>
      <c r="CL754" s="1434"/>
      <c r="CM754" s="1432">
        <f t="shared" si="19"/>
        <v>0</v>
      </c>
      <c r="CN754" s="1434"/>
      <c r="CO754" s="3"/>
      <c r="CP754" s="1428">
        <f t="shared" si="20"/>
        <v>0</v>
      </c>
      <c r="CQ754" s="1429"/>
      <c r="CR754" s="1429"/>
      <c r="CS754" s="1429"/>
      <c r="CT754" s="1430"/>
      <c r="CU754" s="1426">
        <f t="shared" si="21"/>
        <v>0</v>
      </c>
      <c r="CV754" s="1426"/>
      <c r="CW754" s="1426"/>
      <c r="CX754" s="1426"/>
      <c r="CY754" s="1426"/>
      <c r="CZ754" s="1426">
        <f t="shared" si="22"/>
        <v>0</v>
      </c>
      <c r="DA754" s="1426"/>
      <c r="DB754" s="1426"/>
      <c r="DC754" s="1426"/>
      <c r="DD754" s="1426"/>
      <c r="DE754" s="1426">
        <f t="shared" si="23"/>
        <v>0</v>
      </c>
      <c r="DF754" s="1426"/>
      <c r="DG754" s="1426"/>
      <c r="DH754" s="1426"/>
      <c r="DI754" s="1426"/>
      <c r="DJ754" s="1426">
        <f t="shared" si="24"/>
        <v>0</v>
      </c>
      <c r="DK754" s="1426"/>
      <c r="DL754" s="1426"/>
      <c r="DM754" s="1426"/>
      <c r="DN754" s="1426"/>
      <c r="DO754" s="1426">
        <f t="shared" si="25"/>
        <v>0</v>
      </c>
      <c r="DP754" s="1426"/>
      <c r="DQ754" s="1426"/>
      <c r="DR754" s="1426"/>
      <c r="DS754" s="1426"/>
      <c r="DT754" s="257"/>
      <c r="DU754" s="1421">
        <f t="shared" si="26"/>
        <v>0</v>
      </c>
      <c r="DV754" s="1421"/>
      <c r="DW754" s="1421"/>
      <c r="DX754" s="1421"/>
      <c r="DY754" s="1421"/>
      <c r="DZ754" s="1421">
        <f t="shared" si="27"/>
        <v>0</v>
      </c>
      <c r="EA754" s="1421"/>
      <c r="EB754" s="1421"/>
      <c r="EC754" s="1421"/>
      <c r="ED754" s="1421"/>
      <c r="EE754" s="1421">
        <f t="shared" si="28"/>
        <v>0</v>
      </c>
      <c r="EF754" s="1421"/>
      <c r="EG754" s="1421"/>
      <c r="EH754" s="1421"/>
      <c r="EI754" s="1421"/>
      <c r="EJ754" s="1421">
        <f t="shared" si="29"/>
        <v>0</v>
      </c>
      <c r="EK754" s="1421"/>
      <c r="EL754" s="1421"/>
      <c r="EM754" s="1421"/>
      <c r="EN754" s="1421"/>
      <c r="EO754" s="1421">
        <f t="shared" si="30"/>
        <v>0</v>
      </c>
      <c r="EP754" s="1421"/>
      <c r="EQ754" s="1421"/>
      <c r="ER754" s="1421"/>
      <c r="ES754" s="1421"/>
      <c r="ET754" s="1421">
        <f t="shared" si="31"/>
        <v>0</v>
      </c>
      <c r="EU754" s="1421"/>
      <c r="EV754" s="1421"/>
      <c r="EW754" s="1421"/>
      <c r="EX754" s="1421"/>
      <c r="EZ754" s="1432" t="str">
        <f t="shared" si="32"/>
        <v/>
      </c>
      <c r="FA754" s="1433"/>
      <c r="FB754" s="1433"/>
      <c r="FC754" s="1433"/>
      <c r="FD754" s="1434"/>
      <c r="FE754" s="1432" t="str">
        <f t="shared" si="33"/>
        <v/>
      </c>
      <c r="FF754" s="1433"/>
      <c r="FG754" s="1433"/>
      <c r="FH754" s="1433"/>
      <c r="FI754" s="1434"/>
      <c r="FJ754" s="1432" t="str">
        <f t="shared" si="34"/>
        <v/>
      </c>
      <c r="FK754" s="1433"/>
      <c r="FL754" s="1433"/>
      <c r="FM754" s="1433"/>
      <c r="FN754" s="1434"/>
      <c r="FO754" s="1432" t="str">
        <f t="shared" si="35"/>
        <v/>
      </c>
      <c r="FP754" s="1433"/>
      <c r="FQ754" s="1433"/>
      <c r="FR754" s="1433"/>
      <c r="FS754" s="1434"/>
      <c r="FT754" s="1432" t="str">
        <f t="shared" si="36"/>
        <v/>
      </c>
      <c r="FU754" s="1433"/>
      <c r="FV754" s="1433"/>
      <c r="FW754" s="1433"/>
      <c r="FX754" s="1434"/>
      <c r="FY754" s="1432" t="str">
        <f t="shared" si="37"/>
        <v/>
      </c>
      <c r="FZ754" s="1433"/>
      <c r="GA754" s="1433"/>
      <c r="GB754" s="1433"/>
      <c r="GC754" s="1434"/>
    </row>
    <row r="755" spans="1:185" ht="12.95" customHeight="1">
      <c r="B755" s="1255"/>
      <c r="C755" s="1256"/>
      <c r="D755" s="1256"/>
      <c r="E755" s="1256"/>
      <c r="F755" s="1257"/>
      <c r="G755" s="1249"/>
      <c r="H755" s="1250"/>
      <c r="I755" s="1250"/>
      <c r="J755" s="1251"/>
      <c r="K755" s="1252"/>
      <c r="L755" s="1253"/>
      <c r="M755" s="1253"/>
      <c r="N755" s="1254"/>
      <c r="O755" s="1302"/>
      <c r="P755" s="1303"/>
      <c r="Q755" s="1303"/>
      <c r="R755" s="1303"/>
      <c r="S755" s="1304"/>
      <c r="T755" s="1302"/>
      <c r="U755" s="1303"/>
      <c r="V755" s="1303"/>
      <c r="W755" s="1304"/>
      <c r="X755" s="1305">
        <f t="shared" si="41"/>
        <v>0</v>
      </c>
      <c r="Y755" s="1300"/>
      <c r="Z755" s="1300"/>
      <c r="AA755" s="1300"/>
      <c r="AB755" s="1306"/>
      <c r="AC755" s="1307"/>
      <c r="AD755" s="1308"/>
      <c r="AE755" s="1308"/>
      <c r="AF755" s="1308"/>
      <c r="AG755" s="1309"/>
      <c r="AH755" s="1325" t="str">
        <f t="shared" si="38"/>
        <v/>
      </c>
      <c r="AI755" s="1326"/>
      <c r="AJ755" s="1327"/>
      <c r="AK755" s="1255" t="s">
        <v>826</v>
      </c>
      <c r="AL755" s="1256"/>
      <c r="AM755" s="1256"/>
      <c r="AN755" s="1256"/>
      <c r="AO755" s="1257"/>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32">
        <f t="shared" si="39"/>
        <v>0</v>
      </c>
      <c r="CH755" s="1434"/>
      <c r="CI755" s="1432">
        <f t="shared" si="40"/>
        <v>0</v>
      </c>
      <c r="CJ755" s="1434"/>
      <c r="CK755" s="1432">
        <f t="shared" si="18"/>
        <v>0</v>
      </c>
      <c r="CL755" s="1434"/>
      <c r="CM755" s="1432">
        <f t="shared" si="19"/>
        <v>0</v>
      </c>
      <c r="CN755" s="1434"/>
      <c r="CO755" s="3"/>
      <c r="CP755" s="1428">
        <f t="shared" si="20"/>
        <v>0</v>
      </c>
      <c r="CQ755" s="1429"/>
      <c r="CR755" s="1429"/>
      <c r="CS755" s="1429"/>
      <c r="CT755" s="1430"/>
      <c r="CU755" s="1426">
        <f t="shared" si="21"/>
        <v>0</v>
      </c>
      <c r="CV755" s="1426"/>
      <c r="CW755" s="1426"/>
      <c r="CX755" s="1426"/>
      <c r="CY755" s="1426"/>
      <c r="CZ755" s="1426">
        <f t="shared" si="22"/>
        <v>0</v>
      </c>
      <c r="DA755" s="1426"/>
      <c r="DB755" s="1426"/>
      <c r="DC755" s="1426"/>
      <c r="DD755" s="1426"/>
      <c r="DE755" s="1426">
        <f t="shared" si="23"/>
        <v>0</v>
      </c>
      <c r="DF755" s="1426"/>
      <c r="DG755" s="1426"/>
      <c r="DH755" s="1426"/>
      <c r="DI755" s="1426"/>
      <c r="DJ755" s="1426">
        <f t="shared" si="24"/>
        <v>0</v>
      </c>
      <c r="DK755" s="1426"/>
      <c r="DL755" s="1426"/>
      <c r="DM755" s="1426"/>
      <c r="DN755" s="1426"/>
      <c r="DO755" s="1426">
        <f t="shared" si="25"/>
        <v>0</v>
      </c>
      <c r="DP755" s="1426"/>
      <c r="DQ755" s="1426"/>
      <c r="DR755" s="1426"/>
      <c r="DS755" s="1426"/>
      <c r="DT755" s="257"/>
      <c r="DU755" s="1421">
        <f t="shared" si="26"/>
        <v>0</v>
      </c>
      <c r="DV755" s="1421"/>
      <c r="DW755" s="1421"/>
      <c r="DX755" s="1421"/>
      <c r="DY755" s="1421"/>
      <c r="DZ755" s="1421">
        <f t="shared" si="27"/>
        <v>0</v>
      </c>
      <c r="EA755" s="1421"/>
      <c r="EB755" s="1421"/>
      <c r="EC755" s="1421"/>
      <c r="ED755" s="1421"/>
      <c r="EE755" s="1421">
        <f t="shared" si="28"/>
        <v>0</v>
      </c>
      <c r="EF755" s="1421"/>
      <c r="EG755" s="1421"/>
      <c r="EH755" s="1421"/>
      <c r="EI755" s="1421"/>
      <c r="EJ755" s="1421">
        <f t="shared" si="29"/>
        <v>0</v>
      </c>
      <c r="EK755" s="1421"/>
      <c r="EL755" s="1421"/>
      <c r="EM755" s="1421"/>
      <c r="EN755" s="1421"/>
      <c r="EO755" s="1421">
        <f t="shared" si="30"/>
        <v>0</v>
      </c>
      <c r="EP755" s="1421"/>
      <c r="EQ755" s="1421"/>
      <c r="ER755" s="1421"/>
      <c r="ES755" s="1421"/>
      <c r="ET755" s="1421">
        <f t="shared" si="31"/>
        <v>0</v>
      </c>
      <c r="EU755" s="1421"/>
      <c r="EV755" s="1421"/>
      <c r="EW755" s="1421"/>
      <c r="EX755" s="1421"/>
      <c r="EZ755" s="1432" t="str">
        <f t="shared" si="32"/>
        <v/>
      </c>
      <c r="FA755" s="1433"/>
      <c r="FB755" s="1433"/>
      <c r="FC755" s="1433"/>
      <c r="FD755" s="1434"/>
      <c r="FE755" s="1432" t="str">
        <f t="shared" si="33"/>
        <v/>
      </c>
      <c r="FF755" s="1433"/>
      <c r="FG755" s="1433"/>
      <c r="FH755" s="1433"/>
      <c r="FI755" s="1434"/>
      <c r="FJ755" s="1432" t="str">
        <f t="shared" si="34"/>
        <v/>
      </c>
      <c r="FK755" s="1433"/>
      <c r="FL755" s="1433"/>
      <c r="FM755" s="1433"/>
      <c r="FN755" s="1434"/>
      <c r="FO755" s="1432" t="str">
        <f t="shared" si="35"/>
        <v/>
      </c>
      <c r="FP755" s="1433"/>
      <c r="FQ755" s="1433"/>
      <c r="FR755" s="1433"/>
      <c r="FS755" s="1434"/>
      <c r="FT755" s="1432" t="str">
        <f t="shared" si="36"/>
        <v/>
      </c>
      <c r="FU755" s="1433"/>
      <c r="FV755" s="1433"/>
      <c r="FW755" s="1433"/>
      <c r="FX755" s="1434"/>
      <c r="FY755" s="1432" t="str">
        <f t="shared" si="37"/>
        <v/>
      </c>
      <c r="FZ755" s="1433"/>
      <c r="GA755" s="1433"/>
      <c r="GB755" s="1433"/>
      <c r="GC755" s="1434"/>
    </row>
    <row r="756" spans="1:185" s="3" customFormat="1" ht="12.95" customHeight="1">
      <c r="A756"/>
      <c r="B756" s="1255"/>
      <c r="C756" s="1256"/>
      <c r="D756" s="1256"/>
      <c r="E756" s="1256"/>
      <c r="F756" s="1257"/>
      <c r="G756" s="1249"/>
      <c r="H756" s="1250"/>
      <c r="I756" s="1250"/>
      <c r="J756" s="1251"/>
      <c r="K756" s="1252"/>
      <c r="L756" s="1253"/>
      <c r="M756" s="1253"/>
      <c r="N756" s="1254"/>
      <c r="O756" s="1302"/>
      <c r="P756" s="1303"/>
      <c r="Q756" s="1303"/>
      <c r="R756" s="1303"/>
      <c r="S756" s="1304"/>
      <c r="T756" s="1302"/>
      <c r="U756" s="1303"/>
      <c r="V756" s="1303"/>
      <c r="W756" s="1304"/>
      <c r="X756" s="1305">
        <f t="shared" si="41"/>
        <v>0</v>
      </c>
      <c r="Y756" s="1300"/>
      <c r="Z756" s="1300"/>
      <c r="AA756" s="1300"/>
      <c r="AB756" s="1306"/>
      <c r="AC756" s="1307"/>
      <c r="AD756" s="1308"/>
      <c r="AE756" s="1308"/>
      <c r="AF756" s="1308"/>
      <c r="AG756" s="1309"/>
      <c r="AH756" s="1325" t="str">
        <f t="shared" si="38"/>
        <v/>
      </c>
      <c r="AI756" s="1326"/>
      <c r="AJ756" s="1327"/>
      <c r="AK756" s="1255" t="s">
        <v>826</v>
      </c>
      <c r="AL756" s="1256"/>
      <c r="AM756" s="1256"/>
      <c r="AN756" s="1256"/>
      <c r="AO756" s="1257"/>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32">
        <f t="shared" si="39"/>
        <v>0</v>
      </c>
      <c r="CH756" s="1434"/>
      <c r="CI756" s="1432">
        <f t="shared" si="40"/>
        <v>0</v>
      </c>
      <c r="CJ756" s="1434"/>
      <c r="CK756" s="1432">
        <f t="shared" si="18"/>
        <v>0</v>
      </c>
      <c r="CL756" s="1434"/>
      <c r="CM756" s="1432">
        <f t="shared" si="19"/>
        <v>0</v>
      </c>
      <c r="CN756" s="1434"/>
      <c r="CP756" s="1428">
        <f t="shared" si="20"/>
        <v>0</v>
      </c>
      <c r="CQ756" s="1429"/>
      <c r="CR756" s="1429"/>
      <c r="CS756" s="1429"/>
      <c r="CT756" s="1430"/>
      <c r="CU756" s="1426">
        <f t="shared" si="21"/>
        <v>0</v>
      </c>
      <c r="CV756" s="1426"/>
      <c r="CW756" s="1426"/>
      <c r="CX756" s="1426"/>
      <c r="CY756" s="1426"/>
      <c r="CZ756" s="1426">
        <f t="shared" si="22"/>
        <v>0</v>
      </c>
      <c r="DA756" s="1426"/>
      <c r="DB756" s="1426"/>
      <c r="DC756" s="1426"/>
      <c r="DD756" s="1426"/>
      <c r="DE756" s="1426">
        <f t="shared" si="23"/>
        <v>0</v>
      </c>
      <c r="DF756" s="1426"/>
      <c r="DG756" s="1426"/>
      <c r="DH756" s="1426"/>
      <c r="DI756" s="1426"/>
      <c r="DJ756" s="1426">
        <f t="shared" si="24"/>
        <v>0</v>
      </c>
      <c r="DK756" s="1426"/>
      <c r="DL756" s="1426"/>
      <c r="DM756" s="1426"/>
      <c r="DN756" s="1426"/>
      <c r="DO756" s="1426">
        <f t="shared" si="25"/>
        <v>0</v>
      </c>
      <c r="DP756" s="1426"/>
      <c r="DQ756" s="1426"/>
      <c r="DR756" s="1426"/>
      <c r="DS756" s="1426"/>
      <c r="DT756" s="257"/>
      <c r="DU756" s="1421">
        <f t="shared" si="26"/>
        <v>0</v>
      </c>
      <c r="DV756" s="1421"/>
      <c r="DW756" s="1421"/>
      <c r="DX756" s="1421"/>
      <c r="DY756" s="1421"/>
      <c r="DZ756" s="1421">
        <f t="shared" si="27"/>
        <v>0</v>
      </c>
      <c r="EA756" s="1421"/>
      <c r="EB756" s="1421"/>
      <c r="EC756" s="1421"/>
      <c r="ED756" s="1421"/>
      <c r="EE756" s="1421">
        <f t="shared" si="28"/>
        <v>0</v>
      </c>
      <c r="EF756" s="1421"/>
      <c r="EG756" s="1421"/>
      <c r="EH756" s="1421"/>
      <c r="EI756" s="1421"/>
      <c r="EJ756" s="1421">
        <f t="shared" si="29"/>
        <v>0</v>
      </c>
      <c r="EK756" s="1421"/>
      <c r="EL756" s="1421"/>
      <c r="EM756" s="1421"/>
      <c r="EN756" s="1421"/>
      <c r="EO756" s="1421">
        <f t="shared" si="30"/>
        <v>0</v>
      </c>
      <c r="EP756" s="1421"/>
      <c r="EQ756" s="1421"/>
      <c r="ER756" s="1421"/>
      <c r="ES756" s="1421"/>
      <c r="ET756" s="1421">
        <f t="shared" si="31"/>
        <v>0</v>
      </c>
      <c r="EU756" s="1421"/>
      <c r="EV756" s="1421"/>
      <c r="EW756" s="1421"/>
      <c r="EX756" s="1421"/>
      <c r="EY756"/>
      <c r="EZ756" s="1432" t="str">
        <f t="shared" si="32"/>
        <v/>
      </c>
      <c r="FA756" s="1433"/>
      <c r="FB756" s="1433"/>
      <c r="FC756" s="1433"/>
      <c r="FD756" s="1434"/>
      <c r="FE756" s="1432" t="str">
        <f t="shared" si="33"/>
        <v/>
      </c>
      <c r="FF756" s="1433"/>
      <c r="FG756" s="1433"/>
      <c r="FH756" s="1433"/>
      <c r="FI756" s="1434"/>
      <c r="FJ756" s="1432" t="str">
        <f t="shared" si="34"/>
        <v/>
      </c>
      <c r="FK756" s="1433"/>
      <c r="FL756" s="1433"/>
      <c r="FM756" s="1433"/>
      <c r="FN756" s="1434"/>
      <c r="FO756" s="1432" t="str">
        <f t="shared" si="35"/>
        <v/>
      </c>
      <c r="FP756" s="1433"/>
      <c r="FQ756" s="1433"/>
      <c r="FR756" s="1433"/>
      <c r="FS756" s="1434"/>
      <c r="FT756" s="1432" t="str">
        <f t="shared" si="36"/>
        <v/>
      </c>
      <c r="FU756" s="1433"/>
      <c r="FV756" s="1433"/>
      <c r="FW756" s="1433"/>
      <c r="FX756" s="1434"/>
      <c r="FY756" s="1432" t="str">
        <f t="shared" si="37"/>
        <v/>
      </c>
      <c r="FZ756" s="1433"/>
      <c r="GA756" s="1433"/>
      <c r="GB756" s="1433"/>
      <c r="GC756" s="1434"/>
    </row>
    <row r="757" spans="1:185" s="3" customFormat="1" ht="12.95" customHeight="1">
      <c r="A757"/>
      <c r="B757" s="1255"/>
      <c r="C757" s="1256"/>
      <c r="D757" s="1256"/>
      <c r="E757" s="1256"/>
      <c r="F757" s="1257"/>
      <c r="G757" s="1249"/>
      <c r="H757" s="1250"/>
      <c r="I757" s="1250"/>
      <c r="J757" s="1251"/>
      <c r="K757" s="1252"/>
      <c r="L757" s="1253"/>
      <c r="M757" s="1253"/>
      <c r="N757" s="1254"/>
      <c r="O757" s="1302"/>
      <c r="P757" s="1303"/>
      <c r="Q757" s="1303"/>
      <c r="R757" s="1303"/>
      <c r="S757" s="1304"/>
      <c r="T757" s="1302"/>
      <c r="U757" s="1303"/>
      <c r="V757" s="1303"/>
      <c r="W757" s="1304"/>
      <c r="X757" s="1305">
        <f t="shared" si="41"/>
        <v>0</v>
      </c>
      <c r="Y757" s="1300"/>
      <c r="Z757" s="1300"/>
      <c r="AA757" s="1300"/>
      <c r="AB757" s="1306"/>
      <c r="AC757" s="1307"/>
      <c r="AD757" s="1308"/>
      <c r="AE757" s="1308"/>
      <c r="AF757" s="1308"/>
      <c r="AG757" s="1309"/>
      <c r="AH757" s="1325" t="str">
        <f t="shared" si="38"/>
        <v/>
      </c>
      <c r="AI757" s="1326"/>
      <c r="AJ757" s="1327"/>
      <c r="AK757" s="1255" t="s">
        <v>826</v>
      </c>
      <c r="AL757" s="1256"/>
      <c r="AM757" s="1256"/>
      <c r="AN757" s="1256"/>
      <c r="AO757" s="1257"/>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32">
        <f t="shared" si="39"/>
        <v>0</v>
      </c>
      <c r="CH757" s="1434"/>
      <c r="CI757" s="1432">
        <f t="shared" si="40"/>
        <v>0</v>
      </c>
      <c r="CJ757" s="1434"/>
      <c r="CK757" s="1432">
        <f t="shared" si="18"/>
        <v>0</v>
      </c>
      <c r="CL757" s="1434"/>
      <c r="CM757" s="1432">
        <f t="shared" si="19"/>
        <v>0</v>
      </c>
      <c r="CN757" s="1434"/>
      <c r="CP757" s="1428">
        <f t="shared" si="20"/>
        <v>0</v>
      </c>
      <c r="CQ757" s="1429"/>
      <c r="CR757" s="1429"/>
      <c r="CS757" s="1429"/>
      <c r="CT757" s="1430"/>
      <c r="CU757" s="1426">
        <f t="shared" si="21"/>
        <v>0</v>
      </c>
      <c r="CV757" s="1426"/>
      <c r="CW757" s="1426"/>
      <c r="CX757" s="1426"/>
      <c r="CY757" s="1426"/>
      <c r="CZ757" s="1426">
        <f t="shared" si="22"/>
        <v>0</v>
      </c>
      <c r="DA757" s="1426"/>
      <c r="DB757" s="1426"/>
      <c r="DC757" s="1426"/>
      <c r="DD757" s="1426"/>
      <c r="DE757" s="1426">
        <f t="shared" si="23"/>
        <v>0</v>
      </c>
      <c r="DF757" s="1426"/>
      <c r="DG757" s="1426"/>
      <c r="DH757" s="1426"/>
      <c r="DI757" s="1426"/>
      <c r="DJ757" s="1426">
        <f t="shared" si="24"/>
        <v>0</v>
      </c>
      <c r="DK757" s="1426"/>
      <c r="DL757" s="1426"/>
      <c r="DM757" s="1426"/>
      <c r="DN757" s="1426"/>
      <c r="DO757" s="1426">
        <f t="shared" si="25"/>
        <v>0</v>
      </c>
      <c r="DP757" s="1426"/>
      <c r="DQ757" s="1426"/>
      <c r="DR757" s="1426"/>
      <c r="DS757" s="1426"/>
      <c r="DT757" s="257"/>
      <c r="DU757" s="1421">
        <f t="shared" si="26"/>
        <v>0</v>
      </c>
      <c r="DV757" s="1421"/>
      <c r="DW757" s="1421"/>
      <c r="DX757" s="1421"/>
      <c r="DY757" s="1421"/>
      <c r="DZ757" s="1421">
        <f t="shared" si="27"/>
        <v>0</v>
      </c>
      <c r="EA757" s="1421"/>
      <c r="EB757" s="1421"/>
      <c r="EC757" s="1421"/>
      <c r="ED757" s="1421"/>
      <c r="EE757" s="1421">
        <f t="shared" si="28"/>
        <v>0</v>
      </c>
      <c r="EF757" s="1421"/>
      <c r="EG757" s="1421"/>
      <c r="EH757" s="1421"/>
      <c r="EI757" s="1421"/>
      <c r="EJ757" s="1421">
        <f t="shared" si="29"/>
        <v>0</v>
      </c>
      <c r="EK757" s="1421"/>
      <c r="EL757" s="1421"/>
      <c r="EM757" s="1421"/>
      <c r="EN757" s="1421"/>
      <c r="EO757" s="1421">
        <f t="shared" si="30"/>
        <v>0</v>
      </c>
      <c r="EP757" s="1421"/>
      <c r="EQ757" s="1421"/>
      <c r="ER757" s="1421"/>
      <c r="ES757" s="1421"/>
      <c r="ET757" s="1421">
        <f t="shared" si="31"/>
        <v>0</v>
      </c>
      <c r="EU757" s="1421"/>
      <c r="EV757" s="1421"/>
      <c r="EW757" s="1421"/>
      <c r="EX757" s="1421"/>
      <c r="EY757"/>
      <c r="EZ757" s="1432" t="str">
        <f t="shared" si="32"/>
        <v/>
      </c>
      <c r="FA757" s="1433"/>
      <c r="FB757" s="1433"/>
      <c r="FC757" s="1433"/>
      <c r="FD757" s="1434"/>
      <c r="FE757" s="1432" t="str">
        <f t="shared" si="33"/>
        <v/>
      </c>
      <c r="FF757" s="1433"/>
      <c r="FG757" s="1433"/>
      <c r="FH757" s="1433"/>
      <c r="FI757" s="1434"/>
      <c r="FJ757" s="1432" t="str">
        <f t="shared" si="34"/>
        <v/>
      </c>
      <c r="FK757" s="1433"/>
      <c r="FL757" s="1433"/>
      <c r="FM757" s="1433"/>
      <c r="FN757" s="1434"/>
      <c r="FO757" s="1432" t="str">
        <f t="shared" si="35"/>
        <v/>
      </c>
      <c r="FP757" s="1433"/>
      <c r="FQ757" s="1433"/>
      <c r="FR757" s="1433"/>
      <c r="FS757" s="1434"/>
      <c r="FT757" s="1432" t="str">
        <f t="shared" si="36"/>
        <v/>
      </c>
      <c r="FU757" s="1433"/>
      <c r="FV757" s="1433"/>
      <c r="FW757" s="1433"/>
      <c r="FX757" s="1434"/>
      <c r="FY757" s="1432" t="str">
        <f t="shared" si="37"/>
        <v/>
      </c>
      <c r="FZ757" s="1433"/>
      <c r="GA757" s="1433"/>
      <c r="GB757" s="1433"/>
      <c r="GC757" s="1434"/>
    </row>
    <row r="758" spans="1:185" s="3" customFormat="1" ht="12.95" customHeight="1">
      <c r="A758"/>
      <c r="B758" s="1255"/>
      <c r="C758" s="1256"/>
      <c r="D758" s="1256"/>
      <c r="E758" s="1256"/>
      <c r="F758" s="1257"/>
      <c r="G758" s="1249"/>
      <c r="H758" s="1250"/>
      <c r="I758" s="1250"/>
      <c r="J758" s="1251"/>
      <c r="K758" s="1252"/>
      <c r="L758" s="1253"/>
      <c r="M758" s="1253"/>
      <c r="N758" s="1254"/>
      <c r="O758" s="1302"/>
      <c r="P758" s="1303"/>
      <c r="Q758" s="1303"/>
      <c r="R758" s="1303"/>
      <c r="S758" s="1304"/>
      <c r="T758" s="1302"/>
      <c r="U758" s="1303"/>
      <c r="V758" s="1303"/>
      <c r="W758" s="1304"/>
      <c r="X758" s="1305">
        <f t="shared" si="41"/>
        <v>0</v>
      </c>
      <c r="Y758" s="1300"/>
      <c r="Z758" s="1300"/>
      <c r="AA758" s="1300"/>
      <c r="AB758" s="1306"/>
      <c r="AC758" s="1307"/>
      <c r="AD758" s="1308"/>
      <c r="AE758" s="1308"/>
      <c r="AF758" s="1308"/>
      <c r="AG758" s="1309"/>
      <c r="AH758" s="1325" t="str">
        <f t="shared" si="38"/>
        <v/>
      </c>
      <c r="AI758" s="1326"/>
      <c r="AJ758" s="1327"/>
      <c r="AK758" s="1255" t="s">
        <v>826</v>
      </c>
      <c r="AL758" s="1256"/>
      <c r="AM758" s="1256"/>
      <c r="AN758" s="1256"/>
      <c r="AO758" s="1257"/>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32">
        <f t="shared" si="39"/>
        <v>0</v>
      </c>
      <c r="CH758" s="1434"/>
      <c r="CI758" s="1432">
        <f t="shared" si="40"/>
        <v>0</v>
      </c>
      <c r="CJ758" s="1434"/>
      <c r="CK758" s="1432">
        <f t="shared" si="18"/>
        <v>0</v>
      </c>
      <c r="CL758" s="1434"/>
      <c r="CM758" s="1432">
        <f t="shared" si="19"/>
        <v>0</v>
      </c>
      <c r="CN758" s="1434"/>
      <c r="CP758" s="1428">
        <f t="shared" si="20"/>
        <v>0</v>
      </c>
      <c r="CQ758" s="1429"/>
      <c r="CR758" s="1429"/>
      <c r="CS758" s="1429"/>
      <c r="CT758" s="1430"/>
      <c r="CU758" s="1426">
        <f t="shared" si="21"/>
        <v>0</v>
      </c>
      <c r="CV758" s="1426"/>
      <c r="CW758" s="1426"/>
      <c r="CX758" s="1426"/>
      <c r="CY758" s="1426"/>
      <c r="CZ758" s="1426">
        <f t="shared" si="22"/>
        <v>0</v>
      </c>
      <c r="DA758" s="1426"/>
      <c r="DB758" s="1426"/>
      <c r="DC758" s="1426"/>
      <c r="DD758" s="1426"/>
      <c r="DE758" s="1426">
        <f t="shared" si="23"/>
        <v>0</v>
      </c>
      <c r="DF758" s="1426"/>
      <c r="DG758" s="1426"/>
      <c r="DH758" s="1426"/>
      <c r="DI758" s="1426"/>
      <c r="DJ758" s="1426">
        <f t="shared" si="24"/>
        <v>0</v>
      </c>
      <c r="DK758" s="1426"/>
      <c r="DL758" s="1426"/>
      <c r="DM758" s="1426"/>
      <c r="DN758" s="1426"/>
      <c r="DO758" s="1426">
        <f t="shared" si="25"/>
        <v>0</v>
      </c>
      <c r="DP758" s="1426"/>
      <c r="DQ758" s="1426"/>
      <c r="DR758" s="1426"/>
      <c r="DS758" s="1426"/>
      <c r="DT758" s="257"/>
      <c r="DU758" s="1421">
        <f t="shared" si="26"/>
        <v>0</v>
      </c>
      <c r="DV758" s="1421"/>
      <c r="DW758" s="1421"/>
      <c r="DX758" s="1421"/>
      <c r="DY758" s="1421"/>
      <c r="DZ758" s="1421">
        <f t="shared" si="27"/>
        <v>0</v>
      </c>
      <c r="EA758" s="1421"/>
      <c r="EB758" s="1421"/>
      <c r="EC758" s="1421"/>
      <c r="ED758" s="1421"/>
      <c r="EE758" s="1421">
        <f t="shared" si="28"/>
        <v>0</v>
      </c>
      <c r="EF758" s="1421"/>
      <c r="EG758" s="1421"/>
      <c r="EH758" s="1421"/>
      <c r="EI758" s="1421"/>
      <c r="EJ758" s="1421">
        <f t="shared" si="29"/>
        <v>0</v>
      </c>
      <c r="EK758" s="1421"/>
      <c r="EL758" s="1421"/>
      <c r="EM758" s="1421"/>
      <c r="EN758" s="1421"/>
      <c r="EO758" s="1421">
        <f t="shared" si="30"/>
        <v>0</v>
      </c>
      <c r="EP758" s="1421"/>
      <c r="EQ758" s="1421"/>
      <c r="ER758" s="1421"/>
      <c r="ES758" s="1421"/>
      <c r="ET758" s="1421">
        <f t="shared" si="31"/>
        <v>0</v>
      </c>
      <c r="EU758" s="1421"/>
      <c r="EV758" s="1421"/>
      <c r="EW758" s="1421"/>
      <c r="EX758" s="1421"/>
      <c r="EY758"/>
      <c r="EZ758" s="1432" t="str">
        <f t="shared" si="32"/>
        <v/>
      </c>
      <c r="FA758" s="1433"/>
      <c r="FB758" s="1433"/>
      <c r="FC758" s="1433"/>
      <c r="FD758" s="1434"/>
      <c r="FE758" s="1432" t="str">
        <f t="shared" si="33"/>
        <v/>
      </c>
      <c r="FF758" s="1433"/>
      <c r="FG758" s="1433"/>
      <c r="FH758" s="1433"/>
      <c r="FI758" s="1434"/>
      <c r="FJ758" s="1432" t="str">
        <f t="shared" si="34"/>
        <v/>
      </c>
      <c r="FK758" s="1433"/>
      <c r="FL758" s="1433"/>
      <c r="FM758" s="1433"/>
      <c r="FN758" s="1434"/>
      <c r="FO758" s="1432" t="str">
        <f t="shared" si="35"/>
        <v/>
      </c>
      <c r="FP758" s="1433"/>
      <c r="FQ758" s="1433"/>
      <c r="FR758" s="1433"/>
      <c r="FS758" s="1434"/>
      <c r="FT758" s="1432" t="str">
        <f t="shared" si="36"/>
        <v/>
      </c>
      <c r="FU758" s="1433"/>
      <c r="FV758" s="1433"/>
      <c r="FW758" s="1433"/>
      <c r="FX758" s="1434"/>
      <c r="FY758" s="1432" t="str">
        <f t="shared" si="37"/>
        <v/>
      </c>
      <c r="FZ758" s="1433"/>
      <c r="GA758" s="1433"/>
      <c r="GB758" s="1433"/>
      <c r="GC758" s="1434"/>
    </row>
    <row r="759" spans="1:185" s="3" customFormat="1" ht="12.95" customHeight="1">
      <c r="A759"/>
      <c r="B759" s="1255"/>
      <c r="C759" s="1256"/>
      <c r="D759" s="1256"/>
      <c r="E759" s="1256"/>
      <c r="F759" s="1257"/>
      <c r="G759" s="1249"/>
      <c r="H759" s="1250"/>
      <c r="I759" s="1250"/>
      <c r="J759" s="1251"/>
      <c r="K759" s="1252"/>
      <c r="L759" s="1253"/>
      <c r="M759" s="1253"/>
      <c r="N759" s="1254"/>
      <c r="O759" s="1302"/>
      <c r="P759" s="1303"/>
      <c r="Q759" s="1303"/>
      <c r="R759" s="1303"/>
      <c r="S759" s="1304"/>
      <c r="T759" s="1302"/>
      <c r="U759" s="1303"/>
      <c r="V759" s="1303"/>
      <c r="W759" s="1304"/>
      <c r="X759" s="1305">
        <f t="shared" si="41"/>
        <v>0</v>
      </c>
      <c r="Y759" s="1300"/>
      <c r="Z759" s="1300"/>
      <c r="AA759" s="1300"/>
      <c r="AB759" s="1306"/>
      <c r="AC759" s="1307"/>
      <c r="AD759" s="1308"/>
      <c r="AE759" s="1308"/>
      <c r="AF759" s="1308"/>
      <c r="AG759" s="1309"/>
      <c r="AH759" s="1325" t="str">
        <f t="shared" si="38"/>
        <v/>
      </c>
      <c r="AI759" s="1326"/>
      <c r="AJ759" s="1327"/>
      <c r="AK759" s="1255" t="s">
        <v>826</v>
      </c>
      <c r="AL759" s="1256"/>
      <c r="AM759" s="1256"/>
      <c r="AN759" s="1256"/>
      <c r="AO759" s="1257"/>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32">
        <f t="shared" si="39"/>
        <v>0</v>
      </c>
      <c r="CH759" s="1434"/>
      <c r="CI759" s="1432">
        <f t="shared" si="40"/>
        <v>0</v>
      </c>
      <c r="CJ759" s="1434"/>
      <c r="CK759" s="1432">
        <f t="shared" si="18"/>
        <v>0</v>
      </c>
      <c r="CL759" s="1434"/>
      <c r="CM759" s="1432">
        <f t="shared" si="19"/>
        <v>0</v>
      </c>
      <c r="CN759" s="1434"/>
      <c r="CP759" s="1428">
        <f t="shared" si="20"/>
        <v>0</v>
      </c>
      <c r="CQ759" s="1429"/>
      <c r="CR759" s="1429"/>
      <c r="CS759" s="1429"/>
      <c r="CT759" s="1430"/>
      <c r="CU759" s="1426">
        <f t="shared" si="21"/>
        <v>0</v>
      </c>
      <c r="CV759" s="1426"/>
      <c r="CW759" s="1426"/>
      <c r="CX759" s="1426"/>
      <c r="CY759" s="1426"/>
      <c r="CZ759" s="1426">
        <f t="shared" si="22"/>
        <v>0</v>
      </c>
      <c r="DA759" s="1426"/>
      <c r="DB759" s="1426"/>
      <c r="DC759" s="1426"/>
      <c r="DD759" s="1426"/>
      <c r="DE759" s="1426">
        <f t="shared" si="23"/>
        <v>0</v>
      </c>
      <c r="DF759" s="1426"/>
      <c r="DG759" s="1426"/>
      <c r="DH759" s="1426"/>
      <c r="DI759" s="1426"/>
      <c r="DJ759" s="1426">
        <f t="shared" si="24"/>
        <v>0</v>
      </c>
      <c r="DK759" s="1426"/>
      <c r="DL759" s="1426"/>
      <c r="DM759" s="1426"/>
      <c r="DN759" s="1426"/>
      <c r="DO759" s="1426">
        <f t="shared" si="25"/>
        <v>0</v>
      </c>
      <c r="DP759" s="1426"/>
      <c r="DQ759" s="1426"/>
      <c r="DR759" s="1426"/>
      <c r="DS759" s="1426"/>
      <c r="DT759" s="257"/>
      <c r="DU759" s="1421">
        <f t="shared" si="26"/>
        <v>0</v>
      </c>
      <c r="DV759" s="1421"/>
      <c r="DW759" s="1421"/>
      <c r="DX759" s="1421"/>
      <c r="DY759" s="1421"/>
      <c r="DZ759" s="1421">
        <f t="shared" si="27"/>
        <v>0</v>
      </c>
      <c r="EA759" s="1421"/>
      <c r="EB759" s="1421"/>
      <c r="EC759" s="1421"/>
      <c r="ED759" s="1421"/>
      <c r="EE759" s="1421">
        <f t="shared" si="28"/>
        <v>0</v>
      </c>
      <c r="EF759" s="1421"/>
      <c r="EG759" s="1421"/>
      <c r="EH759" s="1421"/>
      <c r="EI759" s="1421"/>
      <c r="EJ759" s="1421">
        <f t="shared" si="29"/>
        <v>0</v>
      </c>
      <c r="EK759" s="1421"/>
      <c r="EL759" s="1421"/>
      <c r="EM759" s="1421"/>
      <c r="EN759" s="1421"/>
      <c r="EO759" s="1421">
        <f t="shared" si="30"/>
        <v>0</v>
      </c>
      <c r="EP759" s="1421"/>
      <c r="EQ759" s="1421"/>
      <c r="ER759" s="1421"/>
      <c r="ES759" s="1421"/>
      <c r="ET759" s="1421">
        <f t="shared" si="31"/>
        <v>0</v>
      </c>
      <c r="EU759" s="1421"/>
      <c r="EV759" s="1421"/>
      <c r="EW759" s="1421"/>
      <c r="EX759" s="1421"/>
      <c r="EY759"/>
      <c r="EZ759" s="1432" t="str">
        <f t="shared" si="32"/>
        <v/>
      </c>
      <c r="FA759" s="1433"/>
      <c r="FB759" s="1433"/>
      <c r="FC759" s="1433"/>
      <c r="FD759" s="1434"/>
      <c r="FE759" s="1432" t="str">
        <f t="shared" si="33"/>
        <v/>
      </c>
      <c r="FF759" s="1433"/>
      <c r="FG759" s="1433"/>
      <c r="FH759" s="1433"/>
      <c r="FI759" s="1434"/>
      <c r="FJ759" s="1432" t="str">
        <f t="shared" si="34"/>
        <v/>
      </c>
      <c r="FK759" s="1433"/>
      <c r="FL759" s="1433"/>
      <c r="FM759" s="1433"/>
      <c r="FN759" s="1434"/>
      <c r="FO759" s="1432" t="str">
        <f t="shared" si="35"/>
        <v/>
      </c>
      <c r="FP759" s="1433"/>
      <c r="FQ759" s="1433"/>
      <c r="FR759" s="1433"/>
      <c r="FS759" s="1434"/>
      <c r="FT759" s="1432" t="str">
        <f t="shared" si="36"/>
        <v/>
      </c>
      <c r="FU759" s="1433"/>
      <c r="FV759" s="1433"/>
      <c r="FW759" s="1433"/>
      <c r="FX759" s="1434"/>
      <c r="FY759" s="1432" t="str">
        <f t="shared" si="37"/>
        <v/>
      </c>
      <c r="FZ759" s="1433"/>
      <c r="GA759" s="1433"/>
      <c r="GB759" s="1433"/>
      <c r="GC759" s="1434"/>
    </row>
    <row r="760" spans="1:185" s="3" customFormat="1" ht="12.95" customHeight="1">
      <c r="A760"/>
      <c r="B760" s="1255"/>
      <c r="C760" s="1256"/>
      <c r="D760" s="1256"/>
      <c r="E760" s="1256"/>
      <c r="F760" s="1257"/>
      <c r="G760" s="1249"/>
      <c r="H760" s="1250"/>
      <c r="I760" s="1250"/>
      <c r="J760" s="1251"/>
      <c r="K760" s="1252"/>
      <c r="L760" s="1253"/>
      <c r="M760" s="1253"/>
      <c r="N760" s="1254"/>
      <c r="O760" s="1302"/>
      <c r="P760" s="1303"/>
      <c r="Q760" s="1303"/>
      <c r="R760" s="1303"/>
      <c r="S760" s="1304"/>
      <c r="T760" s="1302"/>
      <c r="U760" s="1303"/>
      <c r="V760" s="1303"/>
      <c r="W760" s="1304"/>
      <c r="X760" s="1305">
        <f>O760+T760</f>
        <v>0</v>
      </c>
      <c r="Y760" s="1300"/>
      <c r="Z760" s="1300"/>
      <c r="AA760" s="1300"/>
      <c r="AB760" s="1306"/>
      <c r="AC760" s="1307"/>
      <c r="AD760" s="1308"/>
      <c r="AE760" s="1308"/>
      <c r="AF760" s="1308"/>
      <c r="AG760" s="1309"/>
      <c r="AH760" s="1325" t="str">
        <f t="shared" si="38"/>
        <v/>
      </c>
      <c r="AI760" s="1326"/>
      <c r="AJ760" s="1327"/>
      <c r="AK760" s="1255" t="s">
        <v>826</v>
      </c>
      <c r="AL760" s="1256"/>
      <c r="AM760" s="1256"/>
      <c r="AN760" s="1256"/>
      <c r="AO760" s="1257"/>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32">
        <f t="shared" si="39"/>
        <v>0</v>
      </c>
      <c r="CH760" s="1434"/>
      <c r="CI760" s="1432">
        <f t="shared" si="40"/>
        <v>0</v>
      </c>
      <c r="CJ760" s="1434"/>
      <c r="CK760" s="1432">
        <f t="shared" si="18"/>
        <v>0</v>
      </c>
      <c r="CL760" s="1434"/>
      <c r="CM760" s="1432">
        <f t="shared" si="19"/>
        <v>0</v>
      </c>
      <c r="CN760" s="1434"/>
      <c r="CP760" s="1428">
        <f t="shared" si="20"/>
        <v>0</v>
      </c>
      <c r="CQ760" s="1429"/>
      <c r="CR760" s="1429"/>
      <c r="CS760" s="1429"/>
      <c r="CT760" s="1430"/>
      <c r="CU760" s="1426">
        <f t="shared" si="21"/>
        <v>0</v>
      </c>
      <c r="CV760" s="1426"/>
      <c r="CW760" s="1426"/>
      <c r="CX760" s="1426"/>
      <c r="CY760" s="1426"/>
      <c r="CZ760" s="1426">
        <f t="shared" si="22"/>
        <v>0</v>
      </c>
      <c r="DA760" s="1426"/>
      <c r="DB760" s="1426"/>
      <c r="DC760" s="1426"/>
      <c r="DD760" s="1426"/>
      <c r="DE760" s="1426">
        <f t="shared" si="23"/>
        <v>0</v>
      </c>
      <c r="DF760" s="1426"/>
      <c r="DG760" s="1426"/>
      <c r="DH760" s="1426"/>
      <c r="DI760" s="1426"/>
      <c r="DJ760" s="1426">
        <f t="shared" si="24"/>
        <v>0</v>
      </c>
      <c r="DK760" s="1426"/>
      <c r="DL760" s="1426"/>
      <c r="DM760" s="1426"/>
      <c r="DN760" s="1426"/>
      <c r="DO760" s="1426">
        <f t="shared" si="25"/>
        <v>0</v>
      </c>
      <c r="DP760" s="1426"/>
      <c r="DQ760" s="1426"/>
      <c r="DR760" s="1426"/>
      <c r="DS760" s="1426"/>
      <c r="DT760" s="257"/>
      <c r="DU760" s="1421">
        <f t="shared" si="26"/>
        <v>0</v>
      </c>
      <c r="DV760" s="1421"/>
      <c r="DW760" s="1421"/>
      <c r="DX760" s="1421"/>
      <c r="DY760" s="1421"/>
      <c r="DZ760" s="1421">
        <f t="shared" si="27"/>
        <v>0</v>
      </c>
      <c r="EA760" s="1421"/>
      <c r="EB760" s="1421"/>
      <c r="EC760" s="1421"/>
      <c r="ED760" s="1421"/>
      <c r="EE760" s="1421">
        <f t="shared" si="28"/>
        <v>0</v>
      </c>
      <c r="EF760" s="1421"/>
      <c r="EG760" s="1421"/>
      <c r="EH760" s="1421"/>
      <c r="EI760" s="1421"/>
      <c r="EJ760" s="1421">
        <f t="shared" si="29"/>
        <v>0</v>
      </c>
      <c r="EK760" s="1421"/>
      <c r="EL760" s="1421"/>
      <c r="EM760" s="1421"/>
      <c r="EN760" s="1421"/>
      <c r="EO760" s="1421">
        <f t="shared" si="30"/>
        <v>0</v>
      </c>
      <c r="EP760" s="1421"/>
      <c r="EQ760" s="1421"/>
      <c r="ER760" s="1421"/>
      <c r="ES760" s="1421"/>
      <c r="ET760" s="1421">
        <f t="shared" si="31"/>
        <v>0</v>
      </c>
      <c r="EU760" s="1421"/>
      <c r="EV760" s="1421"/>
      <c r="EW760" s="1421"/>
      <c r="EX760" s="1421"/>
      <c r="EY760"/>
      <c r="EZ760" s="1432" t="str">
        <f t="shared" si="32"/>
        <v/>
      </c>
      <c r="FA760" s="1433"/>
      <c r="FB760" s="1433"/>
      <c r="FC760" s="1433"/>
      <c r="FD760" s="1434"/>
      <c r="FE760" s="1432" t="str">
        <f t="shared" si="33"/>
        <v/>
      </c>
      <c r="FF760" s="1433"/>
      <c r="FG760" s="1433"/>
      <c r="FH760" s="1433"/>
      <c r="FI760" s="1434"/>
      <c r="FJ760" s="1432" t="str">
        <f t="shared" si="34"/>
        <v/>
      </c>
      <c r="FK760" s="1433"/>
      <c r="FL760" s="1433"/>
      <c r="FM760" s="1433"/>
      <c r="FN760" s="1434"/>
      <c r="FO760" s="1432" t="str">
        <f t="shared" si="35"/>
        <v/>
      </c>
      <c r="FP760" s="1433"/>
      <c r="FQ760" s="1433"/>
      <c r="FR760" s="1433"/>
      <c r="FS760" s="1434"/>
      <c r="FT760" s="1432" t="str">
        <f t="shared" si="36"/>
        <v/>
      </c>
      <c r="FU760" s="1433"/>
      <c r="FV760" s="1433"/>
      <c r="FW760" s="1433"/>
      <c r="FX760" s="1434"/>
      <c r="FY760" s="1432" t="str">
        <f t="shared" si="37"/>
        <v/>
      </c>
      <c r="FZ760" s="1433"/>
      <c r="GA760" s="1433"/>
      <c r="GB760" s="1433"/>
      <c r="GC760" s="1434"/>
    </row>
    <row r="761" spans="1:185" s="3" customFormat="1" ht="12.95" customHeight="1">
      <c r="A761"/>
      <c r="B761" s="1423" t="s">
        <v>1503</v>
      </c>
      <c r="C761" s="1424"/>
      <c r="D761" s="1424"/>
      <c r="E761" s="1424"/>
      <c r="F761" s="1425"/>
      <c r="G761" s="1549">
        <f>SUM(G726:G760)</f>
        <v>99</v>
      </c>
      <c r="H761" s="1550"/>
      <c r="I761" s="1550"/>
      <c r="J761" s="1551"/>
      <c r="K761" s="794" t="s">
        <v>1504</v>
      </c>
      <c r="L761" s="5"/>
      <c r="M761" s="5"/>
      <c r="N761" s="38"/>
      <c r="O761" s="1305">
        <f>SUMPRODUCT(G726:G760,O726:O760)</f>
        <v>134158</v>
      </c>
      <c r="P761" s="1300"/>
      <c r="Q761" s="1300"/>
      <c r="R761" s="1300"/>
      <c r="S761" s="1306"/>
      <c r="T761"/>
      <c r="U761"/>
      <c r="V761"/>
      <c r="W761"/>
      <c r="X761" s="796" t="s">
        <v>1505</v>
      </c>
      <c r="Y761" s="795"/>
      <c r="Z761" s="795"/>
      <c r="AA761" s="795"/>
      <c r="AB761" s="797"/>
      <c r="AC761" s="1522">
        <f>BH761</f>
        <v>0.43434343434343431</v>
      </c>
      <c r="AD761" s="1523"/>
      <c r="AE761" s="1523"/>
      <c r="AF761" s="1523"/>
      <c r="AG761" s="1524"/>
      <c r="AH761" s="1522">
        <f>IFERROR(BU761,"")</f>
        <v>0.43098271089188983</v>
      </c>
      <c r="AI761" s="1523"/>
      <c r="AJ761" s="1524"/>
      <c r="AK761"/>
      <c r="AL761"/>
      <c r="AM761"/>
      <c r="AN761"/>
      <c r="AO761"/>
      <c r="AP761" s="137"/>
      <c r="AQ761" s="137"/>
      <c r="AR761" s="137"/>
      <c r="AS761" s="137"/>
      <c r="AT761"/>
      <c r="AU761"/>
      <c r="AV761"/>
      <c r="AW761"/>
      <c r="AX761"/>
      <c r="AY761"/>
      <c r="BE761" s="200" t="s">
        <v>1506</v>
      </c>
      <c r="BF761" s="208">
        <f>SUM(BF726:BF760)</f>
        <v>99</v>
      </c>
      <c r="BG761" s="209">
        <f>SUM(BG726:BG760)</f>
        <v>1</v>
      </c>
      <c r="BH761" s="209">
        <f>SUM(BH726:BH760)</f>
        <v>0.43434343434343431</v>
      </c>
      <c r="BI761"/>
      <c r="BJ761"/>
      <c r="BK761"/>
      <c r="BL761"/>
      <c r="BO761"/>
      <c r="BP761"/>
      <c r="BQ761"/>
      <c r="BR761"/>
      <c r="BS761" s="754">
        <f>SUM(BS726:BS760)</f>
        <v>99</v>
      </c>
      <c r="BT761" s="209">
        <f>SUM(BT726:BT760)</f>
        <v>1</v>
      </c>
      <c r="BU761" s="209">
        <f>SUM(BU726:BU760)</f>
        <v>0.43098271089188983</v>
      </c>
      <c r="CI761" s="1432">
        <f>SUM(CI726:CJ760)</f>
        <v>24</v>
      </c>
      <c r="CJ761" s="1434"/>
      <c r="CM761" s="1432">
        <f>SUM(CM726:CN760)</f>
        <v>51</v>
      </c>
      <c r="CN761" s="1434"/>
      <c r="CP761" s="1432">
        <f>SUM(CP726:CT760)</f>
        <v>0</v>
      </c>
      <c r="CQ761" s="1433"/>
      <c r="CR761" s="1433"/>
      <c r="CS761" s="1433"/>
      <c r="CT761" s="1434"/>
      <c r="CU761" s="1431">
        <f>SUM(CU726:CY760)</f>
        <v>42</v>
      </c>
      <c r="CV761" s="1431"/>
      <c r="CW761" s="1431"/>
      <c r="CX761" s="1431"/>
      <c r="CY761" s="1431"/>
      <c r="CZ761" s="1431">
        <f>SUM(CZ726:DD760)</f>
        <v>31</v>
      </c>
      <c r="DA761" s="1431"/>
      <c r="DB761" s="1431"/>
      <c r="DC761" s="1431"/>
      <c r="DD761" s="1431"/>
      <c r="DE761" s="1431">
        <f>SUM(DE726:DI760)</f>
        <v>26</v>
      </c>
      <c r="DF761" s="1431"/>
      <c r="DG761" s="1431"/>
      <c r="DH761" s="1431"/>
      <c r="DI761" s="1431"/>
      <c r="DJ761" s="1431">
        <f>SUM(DJ726:DN760)</f>
        <v>0</v>
      </c>
      <c r="DK761" s="1431"/>
      <c r="DL761" s="1431"/>
      <c r="DM761" s="1431"/>
      <c r="DN761" s="1431"/>
      <c r="DO761" s="1431">
        <f>SUM(DO726:DS760)</f>
        <v>0</v>
      </c>
      <c r="DP761" s="1431"/>
      <c r="DQ761" s="1431"/>
      <c r="DR761" s="1431"/>
      <c r="DS761" s="1431"/>
      <c r="DT761" s="257"/>
      <c r="DU761" s="1431">
        <f>SUM(DU726:DY760)</f>
        <v>0</v>
      </c>
      <c r="DV761" s="1431"/>
      <c r="DW761" s="1431"/>
      <c r="DX761" s="1431"/>
      <c r="DY761" s="1431"/>
      <c r="DZ761" s="1431">
        <f>SUM(DZ726:ED760)</f>
        <v>25</v>
      </c>
      <c r="EA761" s="1431"/>
      <c r="EB761" s="1431"/>
      <c r="EC761" s="1431"/>
      <c r="ED761" s="1431"/>
      <c r="EE761" s="1431">
        <f>SUM(EE726:EI760)</f>
        <v>15</v>
      </c>
      <c r="EF761" s="1431"/>
      <c r="EG761" s="1431"/>
      <c r="EH761" s="1431"/>
      <c r="EI761" s="1431"/>
      <c r="EJ761" s="1431">
        <f>SUM(EJ726:EN760)</f>
        <v>11</v>
      </c>
      <c r="EK761" s="1431"/>
      <c r="EL761" s="1431"/>
      <c r="EM761" s="1431"/>
      <c r="EN761" s="1431"/>
      <c r="EO761" s="1431">
        <f>SUM(EO726:ES760)</f>
        <v>0</v>
      </c>
      <c r="EP761" s="1431"/>
      <c r="EQ761" s="1431"/>
      <c r="ER761" s="1431"/>
      <c r="ES761" s="1431"/>
      <c r="ET761" s="1431">
        <f>SUM(ET726:EX760)</f>
        <v>0</v>
      </c>
      <c r="EU761" s="1431"/>
      <c r="EV761" s="1431"/>
      <c r="EW761" s="1431"/>
      <c r="EX761" s="1431"/>
      <c r="EY761"/>
      <c r="EZ761" s="1431">
        <f>SUM(EZ726:FD760)</f>
        <v>0</v>
      </c>
      <c r="FA761" s="1431"/>
      <c r="FB761" s="1431"/>
      <c r="FC761" s="1431"/>
      <c r="FD761" s="1431"/>
      <c r="FE761" s="1431">
        <f>SUM(FE726:FI760)</f>
        <v>2927</v>
      </c>
      <c r="FF761" s="1431"/>
      <c r="FG761" s="1431"/>
      <c r="FH761" s="1431"/>
      <c r="FI761" s="1431"/>
      <c r="FJ761" s="1431">
        <f>SUM(FJ726:FN760)</f>
        <v>7705</v>
      </c>
      <c r="FK761" s="1431"/>
      <c r="FL761" s="1431"/>
      <c r="FM761" s="1431"/>
      <c r="FN761" s="1431"/>
      <c r="FO761" s="1431">
        <f>SUM(FO726:FS760)</f>
        <v>8685</v>
      </c>
      <c r="FP761" s="1431"/>
      <c r="FQ761" s="1431"/>
      <c r="FR761" s="1431"/>
      <c r="FS761" s="1431"/>
      <c r="FT761" s="1431">
        <f>SUM(FT726:FX760)</f>
        <v>0</v>
      </c>
      <c r="FU761" s="1431"/>
      <c r="FV761" s="1431"/>
      <c r="FW761" s="1431"/>
      <c r="FX761" s="1431"/>
      <c r="FY761" s="1431">
        <f>SUM(FY726:GC760)</f>
        <v>0</v>
      </c>
      <c r="FZ761" s="1431"/>
      <c r="GA761" s="1431"/>
      <c r="GB761" s="1431"/>
      <c r="GC761" s="1431"/>
    </row>
    <row r="762" spans="1:185" s="3" customFormat="1" ht="12.95" customHeight="1">
      <c r="A762"/>
      <c r="B762" s="1621" t="s">
        <v>1507</v>
      </c>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c r="AC762" s="1621"/>
      <c r="AD762" s="1621"/>
      <c r="AE762" s="1621"/>
      <c r="AF762" s="1621"/>
      <c r="AG762" s="1621"/>
      <c r="AH762" s="1621"/>
      <c r="AI762"/>
      <c r="AJ762"/>
      <c r="AK762"/>
      <c r="AT762"/>
      <c r="AU762"/>
      <c r="AV762"/>
      <c r="AW762"/>
      <c r="AX762"/>
      <c r="AY762"/>
      <c r="CD762"/>
      <c r="DN762" s="48" t="s">
        <v>1508</v>
      </c>
      <c r="DO762" s="1432">
        <f>CP761+CU761+CZ761+DE761+DJ761+DO761</f>
        <v>99</v>
      </c>
      <c r="DP762" s="1433"/>
      <c r="DQ762" s="1433"/>
      <c r="DR762" s="1433"/>
      <c r="DS762" s="1434"/>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21"/>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c r="AC763" s="1621"/>
      <c r="AD763" s="1621"/>
      <c r="AE763" s="1621"/>
      <c r="AF763" s="1621"/>
      <c r="AG763" s="1621"/>
      <c r="AH763" s="162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42</v>
      </c>
      <c r="CZ763" s="3"/>
      <c r="DA763" s="3"/>
      <c r="DB763" s="3"/>
      <c r="DC763" s="3"/>
      <c r="DD763" s="756">
        <f>CZ761*2</f>
        <v>62</v>
      </c>
      <c r="DE763" s="3"/>
      <c r="DF763" s="3"/>
      <c r="DG763" s="3"/>
      <c r="DH763" s="3"/>
      <c r="DI763" s="756">
        <f>DE761*3</f>
        <v>78</v>
      </c>
      <c r="DJ763" s="3"/>
      <c r="DK763" s="3"/>
      <c r="DL763" s="3"/>
      <c r="DM763" s="3"/>
      <c r="DN763" s="756">
        <f>DJ761*4</f>
        <v>0</v>
      </c>
      <c r="DO763" s="3"/>
      <c r="DP763" s="3"/>
      <c r="DQ763" s="3"/>
      <c r="DR763" s="3"/>
      <c r="DS763" s="756">
        <f>DO761*5</f>
        <v>0</v>
      </c>
      <c r="DU763" s="756">
        <f>CT763+CY763+DD763+DI763+DN763+DS763</f>
        <v>182</v>
      </c>
      <c r="DV763" s="49" t="s">
        <v>1509</v>
      </c>
      <c r="DW763" s="3"/>
      <c r="DX763" s="3"/>
      <c r="DY763" s="3"/>
      <c r="DZ763" s="3"/>
      <c r="EA763" s="3"/>
      <c r="EB763" s="3"/>
      <c r="EC763" s="3"/>
      <c r="ED763" s="3"/>
      <c r="EE763" s="3"/>
      <c r="EF763" s="3"/>
      <c r="EG763" s="3"/>
      <c r="EH763" s="3"/>
    </row>
    <row r="764" spans="1:185" ht="12.95" customHeight="1">
      <c r="A764" s="3"/>
      <c r="B764" s="3"/>
      <c r="C764" s="84" t="s">
        <v>1510</v>
      </c>
      <c r="D764" s="918"/>
      <c r="E764" s="918"/>
      <c r="F764" s="918"/>
      <c r="G764" s="919"/>
      <c r="H764" s="919"/>
      <c r="I764" s="919"/>
      <c r="J764" s="919"/>
      <c r="K764" s="918"/>
      <c r="L764" s="918"/>
      <c r="M764" s="918"/>
      <c r="N764" s="918"/>
      <c r="O764" s="1431">
        <f>DU763</f>
        <v>182</v>
      </c>
      <c r="P764" s="1431"/>
      <c r="Q764" s="1431"/>
      <c r="R764" s="1431"/>
      <c r="S764" s="859"/>
      <c r="T764" s="859"/>
      <c r="U764" s="84" t="s">
        <v>1511</v>
      </c>
      <c r="V764" s="918"/>
      <c r="W764" s="918"/>
      <c r="X764" s="918"/>
      <c r="Y764" s="919"/>
      <c r="Z764" s="919"/>
      <c r="AA764" s="919"/>
      <c r="AB764" s="919"/>
      <c r="AC764" s="918"/>
      <c r="AD764" s="918"/>
      <c r="AE764" s="918"/>
      <c r="AF764" s="918"/>
      <c r="AG764" s="1336">
        <v>35</v>
      </c>
      <c r="AH764" s="1336"/>
      <c r="AI764" s="1336"/>
      <c r="AJ764" s="133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248" t="str">
        <f>IF(G761&lt;&gt;AG449,"! Total Low-Income Units in the Unit Mix Table above does not match the number of Total Low-Income Units on row #"&amp;TEXT(ROW(D449),"#"),"")</f>
        <v/>
      </c>
      <c r="D765" s="1248"/>
      <c r="E765" s="1248"/>
      <c r="F765" s="1248"/>
      <c r="G765" s="1248"/>
      <c r="H765" s="1248"/>
      <c r="I765" s="1248"/>
      <c r="J765" s="1248"/>
      <c r="K765" s="1248"/>
      <c r="L765" s="1248"/>
      <c r="M765" s="1248"/>
      <c r="N765" s="1248"/>
      <c r="O765" s="1248"/>
      <c r="P765" s="1248"/>
      <c r="Q765" s="1248"/>
      <c r="R765" s="1248"/>
      <c r="S765" s="1248"/>
      <c r="T765" s="1248"/>
      <c r="U765" s="1248"/>
      <c r="V765" s="1248"/>
      <c r="W765" s="1248"/>
      <c r="X765" s="1248"/>
      <c r="Y765" s="1248"/>
      <c r="Z765" s="1248"/>
      <c r="AA765" s="1248"/>
      <c r="AB765" s="1248"/>
      <c r="AC765" s="1248"/>
      <c r="AD765" s="1248"/>
      <c r="AE765" s="1248"/>
      <c r="AF765" s="1248"/>
      <c r="AG765" s="1248"/>
      <c r="AH765" s="1248"/>
      <c r="AI765" s="1248"/>
      <c r="AJ765" s="1248"/>
      <c r="AK765" s="1248"/>
      <c r="AL765" s="1248"/>
      <c r="AM765" s="1248"/>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248"/>
      <c r="D766" s="1248"/>
      <c r="E766" s="1248"/>
      <c r="F766" s="1248"/>
      <c r="G766" s="1248"/>
      <c r="H766" s="1248"/>
      <c r="I766" s="1248"/>
      <c r="J766" s="1248"/>
      <c r="K766" s="1248"/>
      <c r="L766" s="1248"/>
      <c r="M766" s="1248"/>
      <c r="N766" s="1248"/>
      <c r="O766" s="1248"/>
      <c r="P766" s="1248"/>
      <c r="Q766" s="1248"/>
      <c r="R766" s="1248"/>
      <c r="S766" s="1248"/>
      <c r="T766" s="1248"/>
      <c r="U766" s="1248"/>
      <c r="V766" s="1248"/>
      <c r="W766" s="1248"/>
      <c r="X766" s="1248"/>
      <c r="Y766" s="1248"/>
      <c r="Z766" s="1248"/>
      <c r="AA766" s="1248"/>
      <c r="AB766" s="1248"/>
      <c r="AC766" s="1248"/>
      <c r="AD766" s="1248"/>
      <c r="AE766" s="1248"/>
      <c r="AF766" s="1248"/>
      <c r="AG766" s="1248"/>
      <c r="AH766" s="1248"/>
      <c r="AI766" s="1248"/>
      <c r="AJ766" s="1248"/>
      <c r="AK766" s="1248"/>
      <c r="AL766" s="1248"/>
      <c r="AM766" s="1248"/>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1512</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552" t="s">
        <v>826</v>
      </c>
      <c r="AE767" s="1552"/>
      <c r="AF767" s="155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1513</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928</v>
      </c>
      <c r="B769" s="48"/>
      <c r="C769" s="49" t="s">
        <v>1514</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1515</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79" t="s">
        <v>1516</v>
      </c>
      <c r="D771" s="1479"/>
      <c r="E771" s="1479"/>
      <c r="F771" s="1479"/>
      <c r="G771" s="1479"/>
      <c r="H771" s="1479"/>
      <c r="I771" s="1479"/>
      <c r="J771" s="1479"/>
      <c r="K771" s="1479"/>
      <c r="L771" s="1479"/>
      <c r="M771" s="1479"/>
      <c r="N771" s="1479"/>
      <c r="O771" s="1479"/>
      <c r="P771" s="1479"/>
      <c r="Q771" s="1479"/>
      <c r="R771" s="1479"/>
      <c r="S771" s="1479"/>
      <c r="T771" s="1479"/>
      <c r="U771" s="1479"/>
      <c r="V771" s="1479"/>
      <c r="W771" s="1479"/>
      <c r="X771" s="1479"/>
      <c r="Y771" s="1479"/>
      <c r="Z771" s="1479"/>
      <c r="AA771" s="1479"/>
      <c r="AB771" s="1479"/>
      <c r="AC771" s="1479"/>
      <c r="AD771" s="1479"/>
      <c r="AE771" s="1479"/>
      <c r="AF771" s="1479"/>
      <c r="AG771" s="1479"/>
      <c r="AH771" s="1479"/>
      <c r="AI771" s="1479"/>
      <c r="AJ771" s="1479"/>
      <c r="AK771" s="1479"/>
      <c r="AL771" s="1479"/>
      <c r="AM771" s="1479"/>
      <c r="AN771" s="1479"/>
      <c r="AO771" s="1479"/>
      <c r="AP771" s="1479"/>
      <c r="AQ771" s="1479"/>
      <c r="AR771" s="147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79"/>
      <c r="D772" s="1479"/>
      <c r="E772" s="1479"/>
      <c r="F772" s="1479"/>
      <c r="G772" s="1479"/>
      <c r="H772" s="1479"/>
      <c r="I772" s="1479"/>
      <c r="J772" s="1479"/>
      <c r="K772" s="1479"/>
      <c r="L772" s="1479"/>
      <c r="M772" s="1479"/>
      <c r="N772" s="1479"/>
      <c r="O772" s="1479"/>
      <c r="P772" s="1479"/>
      <c r="Q772" s="1479"/>
      <c r="R772" s="1479"/>
      <c r="S772" s="1479"/>
      <c r="T772" s="1479"/>
      <c r="U772" s="1479"/>
      <c r="V772" s="1479"/>
      <c r="W772" s="1479"/>
      <c r="X772" s="1479"/>
      <c r="Y772" s="1479"/>
      <c r="Z772" s="1479"/>
      <c r="AA772" s="1479"/>
      <c r="AB772" s="1479"/>
      <c r="AC772" s="1479"/>
      <c r="AD772" s="1479"/>
      <c r="AE772" s="1479"/>
      <c r="AF772" s="1479"/>
      <c r="AG772" s="1479"/>
      <c r="AH772" s="1479"/>
      <c r="AI772" s="1479"/>
      <c r="AJ772" s="1479"/>
      <c r="AK772" s="1479"/>
      <c r="AL772" s="1479"/>
      <c r="AM772" s="1479"/>
      <c r="AN772" s="1479"/>
      <c r="AO772" s="1479"/>
      <c r="AP772" s="1479"/>
      <c r="AQ772" s="1479"/>
      <c r="AR772" s="147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79"/>
      <c r="D773" s="1479"/>
      <c r="E773" s="1479"/>
      <c r="F773" s="1479"/>
      <c r="G773" s="1479"/>
      <c r="H773" s="1479"/>
      <c r="I773" s="1479"/>
      <c r="J773" s="1479"/>
      <c r="K773" s="1479"/>
      <c r="L773" s="1479"/>
      <c r="M773" s="1479"/>
      <c r="N773" s="1479"/>
      <c r="O773" s="1479"/>
      <c r="P773" s="1479"/>
      <c r="Q773" s="1479"/>
      <c r="R773" s="1479"/>
      <c r="S773" s="1479"/>
      <c r="T773" s="1479"/>
      <c r="U773" s="1479"/>
      <c r="V773" s="1479"/>
      <c r="W773" s="1479"/>
      <c r="X773" s="1479"/>
      <c r="Y773" s="1479"/>
      <c r="Z773" s="1479"/>
      <c r="AA773" s="1479"/>
      <c r="AB773" s="1479"/>
      <c r="AC773" s="1479"/>
      <c r="AD773" s="1479"/>
      <c r="AE773" s="1479"/>
      <c r="AF773" s="1479"/>
      <c r="AG773" s="1479"/>
      <c r="AH773" s="1479"/>
      <c r="AI773" s="1479"/>
      <c r="AJ773" s="1479"/>
      <c r="AK773" s="1479"/>
      <c r="AL773" s="1479"/>
      <c r="AM773" s="1479"/>
      <c r="AN773" s="1479"/>
      <c r="AO773" s="1479"/>
      <c r="AP773" s="1479"/>
      <c r="AQ773" s="1479"/>
      <c r="AR773" s="147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79" t="s">
        <v>1517</v>
      </c>
      <c r="D774" s="1479"/>
      <c r="E774" s="1479"/>
      <c r="F774" s="1479"/>
      <c r="G774" s="1479"/>
      <c r="H774" s="1479"/>
      <c r="I774" s="1479"/>
      <c r="J774" s="1479"/>
      <c r="K774" s="1479"/>
      <c r="L774" s="1479"/>
      <c r="M774" s="1479"/>
      <c r="N774" s="1479"/>
      <c r="O774" s="1479"/>
      <c r="P774" s="1479"/>
      <c r="Q774" s="1479"/>
      <c r="R774" s="1479"/>
      <c r="S774" s="1479"/>
      <c r="T774" s="1479"/>
      <c r="U774" s="1479"/>
      <c r="V774" s="1479"/>
      <c r="W774" s="1479"/>
      <c r="X774" s="1479"/>
      <c r="Y774" s="1479"/>
      <c r="Z774" s="1479"/>
      <c r="AA774" s="1479"/>
      <c r="AB774" s="1479"/>
      <c r="AC774" s="1479"/>
      <c r="AD774" s="1479"/>
      <c r="AE774" s="1479"/>
      <c r="AF774" s="1479"/>
      <c r="AG774" s="1479"/>
      <c r="AH774" s="1479"/>
      <c r="AI774" s="1479"/>
      <c r="AJ774" s="1479"/>
      <c r="AK774" s="1479"/>
      <c r="AL774" s="1479"/>
      <c r="AM774" s="1479"/>
      <c r="AN774" s="1479"/>
      <c r="AO774" s="1479"/>
      <c r="AP774" s="1479"/>
      <c r="AQ774" s="1479"/>
      <c r="AR774" s="147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79"/>
      <c r="D775" s="1479"/>
      <c r="E775" s="1479"/>
      <c r="F775" s="1479"/>
      <c r="G775" s="1479"/>
      <c r="H775" s="1479"/>
      <c r="I775" s="1479"/>
      <c r="J775" s="1479"/>
      <c r="K775" s="1479"/>
      <c r="L775" s="1479"/>
      <c r="M775" s="1479"/>
      <c r="N775" s="1479"/>
      <c r="O775" s="1479"/>
      <c r="P775" s="1479"/>
      <c r="Q775" s="1479"/>
      <c r="R775" s="1479"/>
      <c r="S775" s="1479"/>
      <c r="T775" s="1479"/>
      <c r="U775" s="1479"/>
      <c r="V775" s="1479"/>
      <c r="W775" s="1479"/>
      <c r="X775" s="1479"/>
      <c r="Y775" s="1479"/>
      <c r="Z775" s="1479"/>
      <c r="AA775" s="1479"/>
      <c r="AB775" s="1479"/>
      <c r="AC775" s="1479"/>
      <c r="AD775" s="1479"/>
      <c r="AE775" s="1479"/>
      <c r="AF775" s="1479"/>
      <c r="AG775" s="1479"/>
      <c r="AH775" s="1479"/>
      <c r="AI775" s="1479"/>
      <c r="AJ775" s="1479"/>
      <c r="AK775" s="1479"/>
      <c r="AL775" s="1479"/>
      <c r="AM775" s="1479"/>
      <c r="AN775" s="1479"/>
      <c r="AO775" s="1479"/>
      <c r="AP775" s="1479"/>
      <c r="AQ775" s="1479"/>
      <c r="AR775" s="147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79"/>
      <c r="D776" s="1479"/>
      <c r="E776" s="1479"/>
      <c r="F776" s="1479"/>
      <c r="G776" s="1479"/>
      <c r="H776" s="1479"/>
      <c r="I776" s="1479"/>
      <c r="J776" s="1479"/>
      <c r="K776" s="1479"/>
      <c r="L776" s="1479"/>
      <c r="M776" s="1479"/>
      <c r="N776" s="1479"/>
      <c r="O776" s="1479"/>
      <c r="P776" s="1479"/>
      <c r="Q776" s="1479"/>
      <c r="R776" s="1479"/>
      <c r="S776" s="1479"/>
      <c r="T776" s="1479"/>
      <c r="U776" s="1479"/>
      <c r="V776" s="1479"/>
      <c r="W776" s="1479"/>
      <c r="X776" s="1479"/>
      <c r="Y776" s="1479"/>
      <c r="Z776" s="1479"/>
      <c r="AA776" s="1479"/>
      <c r="AB776" s="1479"/>
      <c r="AC776" s="1479"/>
      <c r="AD776" s="1479"/>
      <c r="AE776" s="1479"/>
      <c r="AF776" s="1479"/>
      <c r="AG776" s="1479"/>
      <c r="AH776" s="1479"/>
      <c r="AI776" s="1479"/>
      <c r="AJ776" s="1479"/>
      <c r="AK776" s="1479"/>
      <c r="AL776" s="1479"/>
      <c r="AM776" s="1479"/>
      <c r="AN776" s="1479"/>
      <c r="AO776" s="1479"/>
      <c r="AP776" s="1479"/>
      <c r="AQ776" s="1479"/>
      <c r="AR776" s="147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16" t="s">
        <v>1482</v>
      </c>
      <c r="K777" s="1317"/>
      <c r="L777" s="1317"/>
      <c r="M777" s="1317"/>
      <c r="N777" s="1318"/>
      <c r="O777" s="1340" t="s">
        <v>1483</v>
      </c>
      <c r="P777" s="1340"/>
      <c r="Q777" s="1340"/>
      <c r="R777" s="1340"/>
      <c r="S777" s="1340"/>
      <c r="T777" s="1587" t="s">
        <v>1484</v>
      </c>
      <c r="U777" s="1588"/>
      <c r="V777" s="1588"/>
      <c r="W777" s="1589"/>
      <c r="X777" s="1316" t="s">
        <v>1485</v>
      </c>
      <c r="Y777" s="1317"/>
      <c r="Z777" s="1317"/>
      <c r="AA777" s="1317"/>
      <c r="AB777" s="1318"/>
      <c r="AC777" s="1316" t="s">
        <v>1518</v>
      </c>
      <c r="AD777" s="1317"/>
      <c r="AE777" s="1317"/>
      <c r="AF777" s="1317"/>
      <c r="AG777" s="131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19"/>
      <c r="K778" s="1320"/>
      <c r="L778" s="1320"/>
      <c r="M778" s="1320"/>
      <c r="N778" s="1321"/>
      <c r="O778" s="1340"/>
      <c r="P778" s="1340"/>
      <c r="Q778" s="1340"/>
      <c r="R778" s="1340"/>
      <c r="S778" s="1340"/>
      <c r="T778" s="1590"/>
      <c r="U778" s="1591"/>
      <c r="V778" s="1591"/>
      <c r="W778" s="1592"/>
      <c r="X778" s="1319"/>
      <c r="Y778" s="1320"/>
      <c r="Z778" s="1320"/>
      <c r="AA778" s="1320"/>
      <c r="AB778" s="1321"/>
      <c r="AC778" s="1319"/>
      <c r="AD778" s="1320"/>
      <c r="AE778" s="1320"/>
      <c r="AF778" s="1320"/>
      <c r="AG778" s="132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19"/>
      <c r="K779" s="1320"/>
      <c r="L779" s="1320"/>
      <c r="M779" s="1320"/>
      <c r="N779" s="1321"/>
      <c r="O779" s="1340"/>
      <c r="P779" s="1340"/>
      <c r="Q779" s="1340"/>
      <c r="R779" s="1340"/>
      <c r="S779" s="1340"/>
      <c r="T779" s="1590"/>
      <c r="U779" s="1591"/>
      <c r="V779" s="1591"/>
      <c r="W779" s="1592"/>
      <c r="X779" s="1319"/>
      <c r="Y779" s="1320"/>
      <c r="Z779" s="1320"/>
      <c r="AA779" s="1320"/>
      <c r="AB779" s="1321"/>
      <c r="AC779" s="1319"/>
      <c r="AD779" s="1320"/>
      <c r="AE779" s="1320"/>
      <c r="AF779" s="1320"/>
      <c r="AG779" s="132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22"/>
      <c r="K780" s="1323"/>
      <c r="L780" s="1323"/>
      <c r="M780" s="1323"/>
      <c r="N780" s="1324"/>
      <c r="O780" s="1340"/>
      <c r="P780" s="1340"/>
      <c r="Q780" s="1340"/>
      <c r="R780" s="1340"/>
      <c r="S780" s="1340"/>
      <c r="T780" s="1599"/>
      <c r="U780" s="1600"/>
      <c r="V780" s="1600"/>
      <c r="W780" s="1601"/>
      <c r="X780" s="1322"/>
      <c r="Y780" s="1323"/>
      <c r="Z780" s="1323"/>
      <c r="AA780" s="1323"/>
      <c r="AB780" s="1324"/>
      <c r="AC780" s="1322"/>
      <c r="AD780" s="1323"/>
      <c r="AE780" s="1323"/>
      <c r="AF780" s="1323"/>
      <c r="AG780" s="132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1519</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55" t="s">
        <v>848</v>
      </c>
      <c r="K781" s="1256"/>
      <c r="L781" s="1256"/>
      <c r="M781" s="1256"/>
      <c r="N781" s="1257"/>
      <c r="O781" s="1339">
        <v>1</v>
      </c>
      <c r="P781" s="1339"/>
      <c r="Q781" s="1339"/>
      <c r="R781" s="1339"/>
      <c r="S781" s="1339"/>
      <c r="T781" s="1252">
        <v>788</v>
      </c>
      <c r="U781" s="1253"/>
      <c r="V781" s="1253"/>
      <c r="W781" s="1254"/>
      <c r="X781" s="1302">
        <v>0</v>
      </c>
      <c r="Y781" s="1303"/>
      <c r="Z781" s="1303"/>
      <c r="AA781" s="1303"/>
      <c r="AB781" s="1304"/>
      <c r="AC781" s="1305">
        <f>X781*O781</f>
        <v>0</v>
      </c>
      <c r="AD781" s="1300"/>
      <c r="AE781" s="1300"/>
      <c r="AF781" s="1300"/>
      <c r="AG781" s="1306"/>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28">
        <f>IF(J781="SRO/Studio",O781,0)</f>
        <v>0</v>
      </c>
      <c r="CQ781" s="1429"/>
      <c r="CR781" s="1429"/>
      <c r="CS781" s="1429"/>
      <c r="CT781" s="1430"/>
      <c r="CU781" s="1426">
        <f>IF(J781="1 Bedroom",O781,0)</f>
        <v>0</v>
      </c>
      <c r="CV781" s="1426"/>
      <c r="CW781" s="1426"/>
      <c r="CX781" s="1426"/>
      <c r="CY781" s="1426"/>
      <c r="CZ781" s="1426">
        <f>IF(J781="2 Bedrooms",O781,0)</f>
        <v>1</v>
      </c>
      <c r="DA781" s="1426"/>
      <c r="DB781" s="1426"/>
      <c r="DC781" s="1426"/>
      <c r="DD781" s="1426"/>
      <c r="DE781" s="1426">
        <f>IF(J781="3 Bedrooms",O781,0)</f>
        <v>0</v>
      </c>
      <c r="DF781" s="1426"/>
      <c r="DG781" s="1426"/>
      <c r="DH781" s="1426"/>
      <c r="DI781" s="1426"/>
      <c r="DJ781" s="1426">
        <f>IF(J781="4 Bedrooms",O781,0)</f>
        <v>0</v>
      </c>
      <c r="DK781" s="1426"/>
      <c r="DL781" s="1426"/>
      <c r="DM781" s="1426"/>
      <c r="DN781" s="1426"/>
      <c r="DO781" s="1426">
        <f>IF(J781="5 Bedrooms",O781,0)</f>
        <v>0</v>
      </c>
      <c r="DP781" s="1426"/>
      <c r="DQ781" s="1426"/>
      <c r="DR781" s="1426"/>
      <c r="DS781" s="1426"/>
      <c r="DT781" s="257"/>
      <c r="DU781" s="3"/>
      <c r="DV781" s="3"/>
    </row>
    <row r="782" spans="1:159" ht="12.95" customHeight="1">
      <c r="J782" s="1255"/>
      <c r="K782" s="1256"/>
      <c r="L782" s="1256"/>
      <c r="M782" s="1256"/>
      <c r="N782" s="1257"/>
      <c r="O782" s="1339"/>
      <c r="P782" s="1339"/>
      <c r="Q782" s="1339"/>
      <c r="R782" s="1339"/>
      <c r="S782" s="1339"/>
      <c r="T782" s="1252"/>
      <c r="U782" s="1253"/>
      <c r="V782" s="1253"/>
      <c r="W782" s="1254"/>
      <c r="X782" s="1302"/>
      <c r="Y782" s="1303"/>
      <c r="Z782" s="1303"/>
      <c r="AA782" s="1303"/>
      <c r="AB782" s="1304"/>
      <c r="AC782" s="1305">
        <f>X782*O782</f>
        <v>0</v>
      </c>
      <c r="AD782" s="1300"/>
      <c r="AE782" s="1300"/>
      <c r="AF782" s="1300"/>
      <c r="AG782" s="1306"/>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28">
        <f>IF(J782="SRO/Studio",O782,0)</f>
        <v>0</v>
      </c>
      <c r="CQ782" s="1429"/>
      <c r="CR782" s="1429"/>
      <c r="CS782" s="1429"/>
      <c r="CT782" s="1430"/>
      <c r="CU782" s="1426">
        <f>IF(J782="1 Bedroom",O782,0)</f>
        <v>0</v>
      </c>
      <c r="CV782" s="1426"/>
      <c r="CW782" s="1426"/>
      <c r="CX782" s="1426"/>
      <c r="CY782" s="1426"/>
      <c r="CZ782" s="1426">
        <f>IF(J782="2 Bedrooms",O782,0)</f>
        <v>0</v>
      </c>
      <c r="DA782" s="1426"/>
      <c r="DB782" s="1426"/>
      <c r="DC782" s="1426"/>
      <c r="DD782" s="1426"/>
      <c r="DE782" s="1426">
        <f>IF(J782="3 Bedrooms",O782,0)</f>
        <v>0</v>
      </c>
      <c r="DF782" s="1426"/>
      <c r="DG782" s="1426"/>
      <c r="DH782" s="1426"/>
      <c r="DI782" s="1426"/>
      <c r="DJ782" s="1426">
        <f>IF(J782="4 Bedrooms",O782,0)</f>
        <v>0</v>
      </c>
      <c r="DK782" s="1426"/>
      <c r="DL782" s="1426"/>
      <c r="DM782" s="1426"/>
      <c r="DN782" s="1426"/>
      <c r="DO782" s="1426">
        <f>IF(J782="5 Bedrooms",O782,0)</f>
        <v>0</v>
      </c>
      <c r="DP782" s="1426"/>
      <c r="DQ782" s="1426"/>
      <c r="DR782" s="1426"/>
      <c r="DS782" s="1426"/>
      <c r="DT782" s="257"/>
      <c r="DU782" s="3"/>
      <c r="DV782" s="3"/>
    </row>
    <row r="783" spans="1:159" ht="12.95" customHeight="1">
      <c r="J783" s="1255"/>
      <c r="K783" s="1256"/>
      <c r="L783" s="1256"/>
      <c r="M783" s="1256"/>
      <c r="N783" s="1257"/>
      <c r="O783" s="1339"/>
      <c r="P783" s="1339"/>
      <c r="Q783" s="1339"/>
      <c r="R783" s="1339"/>
      <c r="S783" s="1339"/>
      <c r="T783" s="1252"/>
      <c r="U783" s="1253"/>
      <c r="V783" s="1253"/>
      <c r="W783" s="1254"/>
      <c r="X783" s="1302"/>
      <c r="Y783" s="1303"/>
      <c r="Z783" s="1303"/>
      <c r="AA783" s="1303"/>
      <c r="AB783" s="1304"/>
      <c r="AC783" s="1305">
        <f>X783*O783</f>
        <v>0</v>
      </c>
      <c r="AD783" s="1300"/>
      <c r="AE783" s="1300"/>
      <c r="AF783" s="1300"/>
      <c r="AG783" s="1306"/>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28">
        <f>IF(J783="SRO/Studio",O783,0)</f>
        <v>0</v>
      </c>
      <c r="CQ783" s="1429"/>
      <c r="CR783" s="1429"/>
      <c r="CS783" s="1429"/>
      <c r="CT783" s="1430"/>
      <c r="CU783" s="1426">
        <f>IF(J783="1 Bedroom",O783,0)</f>
        <v>0</v>
      </c>
      <c r="CV783" s="1426"/>
      <c r="CW783" s="1426"/>
      <c r="CX783" s="1426"/>
      <c r="CY783" s="1426"/>
      <c r="CZ783" s="1426">
        <f>IF(J783="2 Bedrooms",O783,0)</f>
        <v>0</v>
      </c>
      <c r="DA783" s="1426"/>
      <c r="DB783" s="1426"/>
      <c r="DC783" s="1426"/>
      <c r="DD783" s="1426"/>
      <c r="DE783" s="1426">
        <f>IF(J783="3 Bedrooms",O783,0)</f>
        <v>0</v>
      </c>
      <c r="DF783" s="1426"/>
      <c r="DG783" s="1426"/>
      <c r="DH783" s="1426"/>
      <c r="DI783" s="1426"/>
      <c r="DJ783" s="1426">
        <f>IF(J783="4 Bedrooms",O783,0)</f>
        <v>0</v>
      </c>
      <c r="DK783" s="1426"/>
      <c r="DL783" s="1426"/>
      <c r="DM783" s="1426"/>
      <c r="DN783" s="1426"/>
      <c r="DO783" s="1426">
        <f>IF(J783="5 Bedrooms",O783,0)</f>
        <v>0</v>
      </c>
      <c r="DP783" s="1426"/>
      <c r="DQ783" s="1426"/>
      <c r="DR783" s="1426"/>
      <c r="DS783" s="1426"/>
      <c r="DT783" s="257"/>
    </row>
    <row r="784" spans="1:159" ht="12.95" customHeight="1">
      <c r="J784" s="1255"/>
      <c r="K784" s="1256"/>
      <c r="L784" s="1256"/>
      <c r="M784" s="1256"/>
      <c r="N784" s="1257"/>
      <c r="O784" s="1339"/>
      <c r="P784" s="1339"/>
      <c r="Q784" s="1339"/>
      <c r="R784" s="1339"/>
      <c r="S784" s="1339"/>
      <c r="T784" s="1252"/>
      <c r="U784" s="1253"/>
      <c r="V784" s="1253"/>
      <c r="W784" s="1254"/>
      <c r="X784" s="1302"/>
      <c r="Y784" s="1303"/>
      <c r="Z784" s="1303"/>
      <c r="AA784" s="1303"/>
      <c r="AB784" s="1304"/>
      <c r="AC784" s="1305">
        <f>X784*O784</f>
        <v>0</v>
      </c>
      <c r="AD784" s="1300"/>
      <c r="AE784" s="1300"/>
      <c r="AF784" s="1300"/>
      <c r="AG784" s="1306"/>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28">
        <f>IF(J784="SRO/Studio",O784,0)</f>
        <v>0</v>
      </c>
      <c r="CQ784" s="1429"/>
      <c r="CR784" s="1429"/>
      <c r="CS784" s="1429"/>
      <c r="CT784" s="1430"/>
      <c r="CU784" s="1426">
        <f>IF(J784="1 Bedroom",O784,0)</f>
        <v>0</v>
      </c>
      <c r="CV784" s="1426"/>
      <c r="CW784" s="1426"/>
      <c r="CX784" s="1426"/>
      <c r="CY784" s="1426"/>
      <c r="CZ784" s="1426">
        <f>IF(J784="2 Bedrooms",O784,0)</f>
        <v>0</v>
      </c>
      <c r="DA784" s="1426"/>
      <c r="DB784" s="1426"/>
      <c r="DC784" s="1426"/>
      <c r="DD784" s="1426"/>
      <c r="DE784" s="1426">
        <f>IF(J784="3 Bedrooms",O784,0)</f>
        <v>0</v>
      </c>
      <c r="DF784" s="1426"/>
      <c r="DG784" s="1426"/>
      <c r="DH784" s="1426"/>
      <c r="DI784" s="1426"/>
      <c r="DJ784" s="1426">
        <f>IF(J784="4 Bedrooms",O784,0)</f>
        <v>0</v>
      </c>
      <c r="DK784" s="1426"/>
      <c r="DL784" s="1426"/>
      <c r="DM784" s="1426"/>
      <c r="DN784" s="1426"/>
      <c r="DO784" s="1426">
        <f>IF(J784="5 Bedrooms",O784,0)</f>
        <v>0</v>
      </c>
      <c r="DP784" s="1426"/>
      <c r="DQ784" s="1426"/>
      <c r="DR784" s="1426"/>
      <c r="DS784" s="1426"/>
    </row>
    <row r="785" spans="1:154" ht="12.95" customHeight="1">
      <c r="J785" s="1423" t="s">
        <v>1503</v>
      </c>
      <c r="K785" s="1424"/>
      <c r="L785" s="1424"/>
      <c r="M785" s="1424"/>
      <c r="N785" s="1425"/>
      <c r="O785" s="1432">
        <f>SUM(O781:S784)</f>
        <v>1</v>
      </c>
      <c r="P785" s="1433"/>
      <c r="Q785" s="1433"/>
      <c r="R785" s="1433"/>
      <c r="S785" s="1434"/>
      <c r="X785" s="1423" t="s">
        <v>1504</v>
      </c>
      <c r="Y785" s="1424"/>
      <c r="Z785" s="1424"/>
      <c r="AA785" s="1424"/>
      <c r="AB785" s="1425"/>
      <c r="AC785" s="1305">
        <f>SUM(AC781:AG784)</f>
        <v>0</v>
      </c>
      <c r="AD785" s="1300"/>
      <c r="AE785" s="1300"/>
      <c r="AF785" s="1300"/>
      <c r="AG785" s="1306"/>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32">
        <f>SUM(CP781:CT784)</f>
        <v>0</v>
      </c>
      <c r="CQ785" s="1433"/>
      <c r="CR785" s="1433"/>
      <c r="CS785" s="1433"/>
      <c r="CT785" s="1434"/>
      <c r="CU785" s="1432">
        <f>SUM(CU781:CY784)</f>
        <v>0</v>
      </c>
      <c r="CV785" s="1433"/>
      <c r="CW785" s="1433"/>
      <c r="CX785" s="1433"/>
      <c r="CY785" s="1434"/>
      <c r="CZ785" s="1432">
        <f>SUM(CZ781:DD784)</f>
        <v>1</v>
      </c>
      <c r="DA785" s="1433"/>
      <c r="DB785" s="1433"/>
      <c r="DC785" s="1433"/>
      <c r="DD785" s="1434"/>
      <c r="DE785" s="1432">
        <f>SUM(DE781:DI784)</f>
        <v>0</v>
      </c>
      <c r="DF785" s="1433"/>
      <c r="DG785" s="1433"/>
      <c r="DH785" s="1433"/>
      <c r="DI785" s="1434"/>
      <c r="DJ785" s="1432">
        <f>SUM(DJ781:DN784)</f>
        <v>0</v>
      </c>
      <c r="DK785" s="1433"/>
      <c r="DL785" s="1433"/>
      <c r="DM785" s="1433"/>
      <c r="DN785" s="1434"/>
      <c r="DO785" s="1432">
        <f>SUM(DO781:DS784)</f>
        <v>0</v>
      </c>
      <c r="DP785" s="1433"/>
      <c r="DQ785" s="1433"/>
      <c r="DR785" s="1433"/>
      <c r="DS785" s="1434"/>
      <c r="DU785" s="756">
        <f>CP785+CU785+CZ785+DE785+DJ785+DO785</f>
        <v>1</v>
      </c>
      <c r="DV785" s="49" t="s">
        <v>1520</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1521</v>
      </c>
    </row>
    <row r="787" spans="1:154" ht="12.95" customHeight="1">
      <c r="B787" s="48"/>
      <c r="C787" s="48"/>
      <c r="D787" s="48"/>
      <c r="E787" s="48"/>
      <c r="F787" s="48"/>
      <c r="G787" s="257"/>
      <c r="H787" s="257"/>
      <c r="I787" s="257"/>
      <c r="J787" s="1409" t="s">
        <v>701</v>
      </c>
      <c r="K787" s="1409"/>
      <c r="L787" s="48"/>
      <c r="M787" s="84" t="s">
        <v>1522</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1523</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1007</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16" t="s">
        <v>1482</v>
      </c>
      <c r="K791" s="1317"/>
      <c r="L791" s="1317"/>
      <c r="M791" s="1317"/>
      <c r="N791" s="1318"/>
      <c r="O791" s="1340" t="s">
        <v>1483</v>
      </c>
      <c r="P791" s="1340"/>
      <c r="Q791" s="1340"/>
      <c r="R791" s="1340"/>
      <c r="S791" s="1340"/>
      <c r="T791" s="1587" t="s">
        <v>1484</v>
      </c>
      <c r="U791" s="1588"/>
      <c r="V791" s="1588"/>
      <c r="W791" s="1589"/>
      <c r="X791" s="1316" t="s">
        <v>1485</v>
      </c>
      <c r="Y791" s="1317"/>
      <c r="Z791" s="1317"/>
      <c r="AA791" s="1317"/>
      <c r="AB791" s="1318"/>
      <c r="AC791" s="1316" t="s">
        <v>1518</v>
      </c>
      <c r="AD791" s="1317"/>
      <c r="AE791" s="1317"/>
      <c r="AF791" s="1317"/>
      <c r="AG791" s="131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19"/>
      <c r="K792" s="1320"/>
      <c r="L792" s="1320"/>
      <c r="M792" s="1320"/>
      <c r="N792" s="1321"/>
      <c r="O792" s="1340"/>
      <c r="P792" s="1340"/>
      <c r="Q792" s="1340"/>
      <c r="R792" s="1340"/>
      <c r="S792" s="1340"/>
      <c r="T792" s="1590"/>
      <c r="U792" s="1591"/>
      <c r="V792" s="1591"/>
      <c r="W792" s="1592"/>
      <c r="X792" s="1319"/>
      <c r="Y792" s="1320"/>
      <c r="Z792" s="1320"/>
      <c r="AA792" s="1320"/>
      <c r="AB792" s="1321"/>
      <c r="AC792" s="1319"/>
      <c r="AD792" s="1320"/>
      <c r="AE792" s="1320"/>
      <c r="AF792" s="1320"/>
      <c r="AG792" s="132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19"/>
      <c r="K793" s="1320"/>
      <c r="L793" s="1320"/>
      <c r="M793" s="1320"/>
      <c r="N793" s="1321"/>
      <c r="O793" s="1340"/>
      <c r="P793" s="1340"/>
      <c r="Q793" s="1340"/>
      <c r="R793" s="1340"/>
      <c r="S793" s="1340"/>
      <c r="T793" s="1590"/>
      <c r="U793" s="1591"/>
      <c r="V793" s="1591"/>
      <c r="W793" s="1592"/>
      <c r="X793" s="1319"/>
      <c r="Y793" s="1320"/>
      <c r="Z793" s="1320"/>
      <c r="AA793" s="1320"/>
      <c r="AB793" s="1321"/>
      <c r="AC793" s="1319"/>
      <c r="AD793" s="1320"/>
      <c r="AE793" s="1320"/>
      <c r="AF793" s="1320"/>
      <c r="AG793" s="132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22"/>
      <c r="K794" s="1323"/>
      <c r="L794" s="1323"/>
      <c r="M794" s="1323"/>
      <c r="N794" s="1324"/>
      <c r="O794" s="1340"/>
      <c r="P794" s="1340"/>
      <c r="Q794" s="1340"/>
      <c r="R794" s="1340"/>
      <c r="S794" s="1340"/>
      <c r="T794" s="1599"/>
      <c r="U794" s="1600"/>
      <c r="V794" s="1600"/>
      <c r="W794" s="1601"/>
      <c r="X794" s="1322"/>
      <c r="Y794" s="1323"/>
      <c r="Z794" s="1323"/>
      <c r="AA794" s="1323"/>
      <c r="AB794" s="1324"/>
      <c r="AC794" s="1322"/>
      <c r="AD794" s="1323"/>
      <c r="AE794" s="1323"/>
      <c r="AF794" s="1323"/>
      <c r="AG794" s="132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1524</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1525</v>
      </c>
      <c r="DV794" s="3"/>
      <c r="DW794" s="3"/>
      <c r="DX794" s="3"/>
      <c r="DY794" s="3"/>
      <c r="DZ794" s="3"/>
      <c r="EA794" s="3"/>
      <c r="EB794" s="3"/>
      <c r="EC794" s="3"/>
      <c r="ED794" s="3"/>
      <c r="EE794" s="3"/>
      <c r="EF794" s="3"/>
      <c r="EG794" s="3"/>
      <c r="EH794" s="3"/>
    </row>
    <row r="795" spans="1:154" ht="12.95" customHeight="1">
      <c r="J795" s="1255"/>
      <c r="K795" s="1256"/>
      <c r="L795" s="1256"/>
      <c r="M795" s="1256"/>
      <c r="N795" s="1257"/>
      <c r="O795" s="1339"/>
      <c r="P795" s="1339"/>
      <c r="Q795" s="1339"/>
      <c r="R795" s="1339"/>
      <c r="S795" s="1339"/>
      <c r="T795" s="1252"/>
      <c r="U795" s="1253"/>
      <c r="V795" s="1253"/>
      <c r="W795" s="1254"/>
      <c r="X795" s="1302"/>
      <c r="Y795" s="1303"/>
      <c r="Z795" s="1303"/>
      <c r="AA795" s="1303"/>
      <c r="AB795" s="1304"/>
      <c r="AC795" s="1305">
        <f t="shared" ref="AC795:AC804" si="42">X795*O795</f>
        <v>0</v>
      </c>
      <c r="AD795" s="1300"/>
      <c r="AE795" s="1300"/>
      <c r="AF795" s="1300"/>
      <c r="AG795" s="13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28">
        <f t="shared" ref="CP795:CP804" si="43">IF(J795="SRO/Studio",O795,0)</f>
        <v>0</v>
      </c>
      <c r="CQ795" s="1429"/>
      <c r="CR795" s="1429"/>
      <c r="CS795" s="1429"/>
      <c r="CT795" s="1430"/>
      <c r="CU795" s="1428">
        <f t="shared" ref="CU795:CU804" si="44">IF(J795="1 Bedroom",O795,0)</f>
        <v>0</v>
      </c>
      <c r="CV795" s="1429"/>
      <c r="CW795" s="1429"/>
      <c r="CX795" s="1429"/>
      <c r="CY795" s="1430"/>
      <c r="CZ795" s="1428">
        <f t="shared" ref="CZ795:CZ804" si="45">IF(J795="2 Bedrooms",O795,0)</f>
        <v>0</v>
      </c>
      <c r="DA795" s="1429"/>
      <c r="DB795" s="1429"/>
      <c r="DC795" s="1429"/>
      <c r="DD795" s="1430"/>
      <c r="DE795" s="1428">
        <f t="shared" ref="DE795:DE804" si="46">IF(J795="3 Bedrooms",O795,0)</f>
        <v>0</v>
      </c>
      <c r="DF795" s="1429"/>
      <c r="DG795" s="1429"/>
      <c r="DH795" s="1429"/>
      <c r="DI795" s="1430"/>
      <c r="DJ795" s="1428">
        <f t="shared" ref="DJ795:DJ804" si="47">IF(J795="4 Bedrooms",O795,0)</f>
        <v>0</v>
      </c>
      <c r="DK795" s="1429"/>
      <c r="DL795" s="1429"/>
      <c r="DM795" s="1429"/>
      <c r="DN795" s="1430"/>
      <c r="DO795" s="1428">
        <f t="shared" ref="DO795:DO804" si="48">IF(J795="5 Bedrooms",O795,0)</f>
        <v>0</v>
      </c>
      <c r="DP795" s="1429"/>
      <c r="DQ795" s="1429"/>
      <c r="DR795" s="1429"/>
      <c r="DS795" s="1430"/>
      <c r="DT795" s="257"/>
      <c r="DU795" s="1428">
        <f t="shared" ref="DU795:DU804" si="49">IF(AND(CP795&gt;=1,AH795&gt;=0.1,AH795&lt;=1),O795,0)</f>
        <v>0</v>
      </c>
      <c r="DV795" s="1429"/>
      <c r="DW795" s="1429"/>
      <c r="DX795" s="1429"/>
      <c r="DY795" s="1430"/>
      <c r="DZ795" s="1428">
        <f t="shared" ref="DZ795:DZ804" si="50">IF(AND(CU795&gt;=1,AH795&gt;=0.1,AH795&lt;=1),O795,0)</f>
        <v>0</v>
      </c>
      <c r="EA795" s="1429"/>
      <c r="EB795" s="1429"/>
      <c r="EC795" s="1429"/>
      <c r="ED795" s="1430"/>
      <c r="EE795" s="1428">
        <f t="shared" ref="EE795:EE804" si="51">IF(AND(CZ795&gt;=1,AH795&gt;=0.1,AH795&lt;=1),O795,0)</f>
        <v>0</v>
      </c>
      <c r="EF795" s="1429"/>
      <c r="EG795" s="1429"/>
      <c r="EH795" s="1429"/>
      <c r="EI795" s="1430"/>
      <c r="EJ795" s="1428">
        <f t="shared" ref="EJ795:EJ804" si="52">IF(AND(DE795&gt;=1,AH795&gt;=0.1,AH795&lt;=1),O795,0)</f>
        <v>0</v>
      </c>
      <c r="EK795" s="1429"/>
      <c r="EL795" s="1429"/>
      <c r="EM795" s="1429"/>
      <c r="EN795" s="1430"/>
      <c r="EO795" s="1428">
        <f t="shared" ref="EO795:EO804" si="53">IF(AND(DJ795&gt;=1,AH795&gt;=0.1,AH795&lt;=1),O795,0)</f>
        <v>0</v>
      </c>
      <c r="EP795" s="1429"/>
      <c r="EQ795" s="1429"/>
      <c r="ER795" s="1429"/>
      <c r="ES795" s="1430"/>
      <c r="ET795" s="1428">
        <f t="shared" ref="ET795:ET804" si="54">IF(AND(DO795&gt;=1,AH795&gt;=0.1,AH795&lt;=1),O795,0)</f>
        <v>0</v>
      </c>
      <c r="EU795" s="1429"/>
      <c r="EV795" s="1429"/>
      <c r="EW795" s="1429"/>
      <c r="EX795" s="1430"/>
    </row>
    <row r="796" spans="1:154" s="13" customFormat="1" ht="12.95" customHeight="1">
      <c r="A796"/>
      <c r="B796"/>
      <c r="C796"/>
      <c r="D796"/>
      <c r="E796"/>
      <c r="F796"/>
      <c r="G796"/>
      <c r="H796"/>
      <c r="I796"/>
      <c r="J796" s="1255"/>
      <c r="K796" s="1256"/>
      <c r="L796" s="1256"/>
      <c r="M796" s="1256"/>
      <c r="N796" s="1257"/>
      <c r="O796" s="1339"/>
      <c r="P796" s="1339"/>
      <c r="Q796" s="1339"/>
      <c r="R796" s="1339"/>
      <c r="S796" s="1339"/>
      <c r="T796" s="1252"/>
      <c r="U796" s="1253"/>
      <c r="V796" s="1253"/>
      <c r="W796" s="1254"/>
      <c r="X796" s="1302"/>
      <c r="Y796" s="1303"/>
      <c r="Z796" s="1303"/>
      <c r="AA796" s="1303"/>
      <c r="AB796" s="1304"/>
      <c r="AC796" s="1305">
        <f t="shared" si="42"/>
        <v>0</v>
      </c>
      <c r="AD796" s="1300"/>
      <c r="AE796" s="1300"/>
      <c r="AF796" s="1300"/>
      <c r="AG796" s="130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28">
        <f t="shared" si="43"/>
        <v>0</v>
      </c>
      <c r="CQ796" s="1429"/>
      <c r="CR796" s="1429"/>
      <c r="CS796" s="1429"/>
      <c r="CT796" s="1430"/>
      <c r="CU796" s="1428">
        <f t="shared" si="44"/>
        <v>0</v>
      </c>
      <c r="CV796" s="1429"/>
      <c r="CW796" s="1429"/>
      <c r="CX796" s="1429"/>
      <c r="CY796" s="1430"/>
      <c r="CZ796" s="1428">
        <f t="shared" si="45"/>
        <v>0</v>
      </c>
      <c r="DA796" s="1429"/>
      <c r="DB796" s="1429"/>
      <c r="DC796" s="1429"/>
      <c r="DD796" s="1430"/>
      <c r="DE796" s="1428">
        <f t="shared" si="46"/>
        <v>0</v>
      </c>
      <c r="DF796" s="1429"/>
      <c r="DG796" s="1429"/>
      <c r="DH796" s="1429"/>
      <c r="DI796" s="1430"/>
      <c r="DJ796" s="1428">
        <f t="shared" si="47"/>
        <v>0</v>
      </c>
      <c r="DK796" s="1429"/>
      <c r="DL796" s="1429"/>
      <c r="DM796" s="1429"/>
      <c r="DN796" s="1430"/>
      <c r="DO796" s="1428">
        <f t="shared" si="48"/>
        <v>0</v>
      </c>
      <c r="DP796" s="1429"/>
      <c r="DQ796" s="1429"/>
      <c r="DR796" s="1429"/>
      <c r="DS796" s="1430"/>
      <c r="DT796" s="257"/>
      <c r="DU796" s="1428">
        <f t="shared" si="49"/>
        <v>0</v>
      </c>
      <c r="DV796" s="1429"/>
      <c r="DW796" s="1429"/>
      <c r="DX796" s="1429"/>
      <c r="DY796" s="1430"/>
      <c r="DZ796" s="1428">
        <f t="shared" si="50"/>
        <v>0</v>
      </c>
      <c r="EA796" s="1429"/>
      <c r="EB796" s="1429"/>
      <c r="EC796" s="1429"/>
      <c r="ED796" s="1430"/>
      <c r="EE796" s="1428">
        <f t="shared" si="51"/>
        <v>0</v>
      </c>
      <c r="EF796" s="1429"/>
      <c r="EG796" s="1429"/>
      <c r="EH796" s="1429"/>
      <c r="EI796" s="1430"/>
      <c r="EJ796" s="1428">
        <f t="shared" si="52"/>
        <v>0</v>
      </c>
      <c r="EK796" s="1429"/>
      <c r="EL796" s="1429"/>
      <c r="EM796" s="1429"/>
      <c r="EN796" s="1430"/>
      <c r="EO796" s="1428">
        <f t="shared" si="53"/>
        <v>0</v>
      </c>
      <c r="EP796" s="1429"/>
      <c r="EQ796" s="1429"/>
      <c r="ER796" s="1429"/>
      <c r="ES796" s="1430"/>
      <c r="ET796" s="1428">
        <f t="shared" si="54"/>
        <v>0</v>
      </c>
      <c r="EU796" s="1429"/>
      <c r="EV796" s="1429"/>
      <c r="EW796" s="1429"/>
      <c r="EX796" s="1430"/>
    </row>
    <row r="797" spans="1:154" s="13" customFormat="1" ht="12.95" customHeight="1">
      <c r="A797"/>
      <c r="B797"/>
      <c r="C797"/>
      <c r="D797"/>
      <c r="E797"/>
      <c r="F797"/>
      <c r="G797"/>
      <c r="H797"/>
      <c r="I797"/>
      <c r="J797" s="1255"/>
      <c r="K797" s="1256"/>
      <c r="L797" s="1256"/>
      <c r="M797" s="1256"/>
      <c r="N797" s="1257"/>
      <c r="O797" s="1339"/>
      <c r="P797" s="1339"/>
      <c r="Q797" s="1339"/>
      <c r="R797" s="1339"/>
      <c r="S797" s="1339"/>
      <c r="T797" s="1252"/>
      <c r="U797" s="1253"/>
      <c r="V797" s="1253"/>
      <c r="W797" s="1254"/>
      <c r="X797" s="1302"/>
      <c r="Y797" s="1303"/>
      <c r="Z797" s="1303"/>
      <c r="AA797" s="1303"/>
      <c r="AB797" s="1304"/>
      <c r="AC797" s="1305">
        <f t="shared" si="42"/>
        <v>0</v>
      </c>
      <c r="AD797" s="1300"/>
      <c r="AE797" s="1300"/>
      <c r="AF797" s="1300"/>
      <c r="AG797" s="130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28">
        <f t="shared" si="43"/>
        <v>0</v>
      </c>
      <c r="CQ797" s="1429"/>
      <c r="CR797" s="1429"/>
      <c r="CS797" s="1429"/>
      <c r="CT797" s="1430"/>
      <c r="CU797" s="1428">
        <f t="shared" si="44"/>
        <v>0</v>
      </c>
      <c r="CV797" s="1429"/>
      <c r="CW797" s="1429"/>
      <c r="CX797" s="1429"/>
      <c r="CY797" s="1430"/>
      <c r="CZ797" s="1428">
        <f t="shared" si="45"/>
        <v>0</v>
      </c>
      <c r="DA797" s="1429"/>
      <c r="DB797" s="1429"/>
      <c r="DC797" s="1429"/>
      <c r="DD797" s="1430"/>
      <c r="DE797" s="1428">
        <f t="shared" si="46"/>
        <v>0</v>
      </c>
      <c r="DF797" s="1429"/>
      <c r="DG797" s="1429"/>
      <c r="DH797" s="1429"/>
      <c r="DI797" s="1430"/>
      <c r="DJ797" s="1428">
        <f t="shared" si="47"/>
        <v>0</v>
      </c>
      <c r="DK797" s="1429"/>
      <c r="DL797" s="1429"/>
      <c r="DM797" s="1429"/>
      <c r="DN797" s="1430"/>
      <c r="DO797" s="1428">
        <f t="shared" si="48"/>
        <v>0</v>
      </c>
      <c r="DP797" s="1429"/>
      <c r="DQ797" s="1429"/>
      <c r="DR797" s="1429"/>
      <c r="DS797" s="1430"/>
      <c r="DT797" s="257"/>
      <c r="DU797" s="1428">
        <f t="shared" si="49"/>
        <v>0</v>
      </c>
      <c r="DV797" s="1429"/>
      <c r="DW797" s="1429"/>
      <c r="DX797" s="1429"/>
      <c r="DY797" s="1430"/>
      <c r="DZ797" s="1428">
        <f t="shared" si="50"/>
        <v>0</v>
      </c>
      <c r="EA797" s="1429"/>
      <c r="EB797" s="1429"/>
      <c r="EC797" s="1429"/>
      <c r="ED797" s="1430"/>
      <c r="EE797" s="1428">
        <f t="shared" si="51"/>
        <v>0</v>
      </c>
      <c r="EF797" s="1429"/>
      <c r="EG797" s="1429"/>
      <c r="EH797" s="1429"/>
      <c r="EI797" s="1430"/>
      <c r="EJ797" s="1428">
        <f t="shared" si="52"/>
        <v>0</v>
      </c>
      <c r="EK797" s="1429"/>
      <c r="EL797" s="1429"/>
      <c r="EM797" s="1429"/>
      <c r="EN797" s="1430"/>
      <c r="EO797" s="1428">
        <f t="shared" si="53"/>
        <v>0</v>
      </c>
      <c r="EP797" s="1429"/>
      <c r="EQ797" s="1429"/>
      <c r="ER797" s="1429"/>
      <c r="ES797" s="1430"/>
      <c r="ET797" s="1428">
        <f t="shared" si="54"/>
        <v>0</v>
      </c>
      <c r="EU797" s="1429"/>
      <c r="EV797" s="1429"/>
      <c r="EW797" s="1429"/>
      <c r="EX797" s="1430"/>
    </row>
    <row r="798" spans="1:154" s="13" customFormat="1" ht="12.95" customHeight="1">
      <c r="A798"/>
      <c r="B798"/>
      <c r="C798"/>
      <c r="D798"/>
      <c r="E798"/>
      <c r="F798"/>
      <c r="G798"/>
      <c r="H798"/>
      <c r="I798"/>
      <c r="J798" s="1255"/>
      <c r="K798" s="1256"/>
      <c r="L798" s="1256"/>
      <c r="M798" s="1256"/>
      <c r="N798" s="1257"/>
      <c r="O798" s="1339"/>
      <c r="P798" s="1339"/>
      <c r="Q798" s="1339"/>
      <c r="R798" s="1339"/>
      <c r="S798" s="1339"/>
      <c r="T798" s="1252"/>
      <c r="U798" s="1253"/>
      <c r="V798" s="1253"/>
      <c r="W798" s="1254"/>
      <c r="X798" s="1302"/>
      <c r="Y798" s="1303"/>
      <c r="Z798" s="1303"/>
      <c r="AA798" s="1303"/>
      <c r="AB798" s="1304"/>
      <c r="AC798" s="1305">
        <f t="shared" si="42"/>
        <v>0</v>
      </c>
      <c r="AD798" s="1300"/>
      <c r="AE798" s="1300"/>
      <c r="AF798" s="1300"/>
      <c r="AG798" s="130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28">
        <f t="shared" si="43"/>
        <v>0</v>
      </c>
      <c r="CQ798" s="1429"/>
      <c r="CR798" s="1429"/>
      <c r="CS798" s="1429"/>
      <c r="CT798" s="1430"/>
      <c r="CU798" s="1428">
        <f t="shared" si="44"/>
        <v>0</v>
      </c>
      <c r="CV798" s="1429"/>
      <c r="CW798" s="1429"/>
      <c r="CX798" s="1429"/>
      <c r="CY798" s="1430"/>
      <c r="CZ798" s="1428">
        <f t="shared" si="45"/>
        <v>0</v>
      </c>
      <c r="DA798" s="1429"/>
      <c r="DB798" s="1429"/>
      <c r="DC798" s="1429"/>
      <c r="DD798" s="1430"/>
      <c r="DE798" s="1428">
        <f t="shared" si="46"/>
        <v>0</v>
      </c>
      <c r="DF798" s="1429"/>
      <c r="DG798" s="1429"/>
      <c r="DH798" s="1429"/>
      <c r="DI798" s="1430"/>
      <c r="DJ798" s="1428">
        <f t="shared" si="47"/>
        <v>0</v>
      </c>
      <c r="DK798" s="1429"/>
      <c r="DL798" s="1429"/>
      <c r="DM798" s="1429"/>
      <c r="DN798" s="1430"/>
      <c r="DO798" s="1428">
        <f t="shared" si="48"/>
        <v>0</v>
      </c>
      <c r="DP798" s="1429"/>
      <c r="DQ798" s="1429"/>
      <c r="DR798" s="1429"/>
      <c r="DS798" s="1430"/>
      <c r="DT798" s="257"/>
      <c r="DU798" s="1428">
        <f t="shared" si="49"/>
        <v>0</v>
      </c>
      <c r="DV798" s="1429"/>
      <c r="DW798" s="1429"/>
      <c r="DX798" s="1429"/>
      <c r="DY798" s="1430"/>
      <c r="DZ798" s="1428">
        <f t="shared" si="50"/>
        <v>0</v>
      </c>
      <c r="EA798" s="1429"/>
      <c r="EB798" s="1429"/>
      <c r="EC798" s="1429"/>
      <c r="ED798" s="1430"/>
      <c r="EE798" s="1428">
        <f t="shared" si="51"/>
        <v>0</v>
      </c>
      <c r="EF798" s="1429"/>
      <c r="EG798" s="1429"/>
      <c r="EH798" s="1429"/>
      <c r="EI798" s="1430"/>
      <c r="EJ798" s="1428">
        <f t="shared" si="52"/>
        <v>0</v>
      </c>
      <c r="EK798" s="1429"/>
      <c r="EL798" s="1429"/>
      <c r="EM798" s="1429"/>
      <c r="EN798" s="1430"/>
      <c r="EO798" s="1428">
        <f t="shared" si="53"/>
        <v>0</v>
      </c>
      <c r="EP798" s="1429"/>
      <c r="EQ798" s="1429"/>
      <c r="ER798" s="1429"/>
      <c r="ES798" s="1430"/>
      <c r="ET798" s="1428">
        <f t="shared" si="54"/>
        <v>0</v>
      </c>
      <c r="EU798" s="1429"/>
      <c r="EV798" s="1429"/>
      <c r="EW798" s="1429"/>
      <c r="EX798" s="1430"/>
    </row>
    <row r="799" spans="1:154" s="13" customFormat="1" ht="12.95" customHeight="1">
      <c r="A799"/>
      <c r="B799"/>
      <c r="C799"/>
      <c r="D799"/>
      <c r="E799"/>
      <c r="F799"/>
      <c r="G799"/>
      <c r="H799"/>
      <c r="I799"/>
      <c r="J799" s="1255"/>
      <c r="K799" s="1256"/>
      <c r="L799" s="1256"/>
      <c r="M799" s="1256"/>
      <c r="N799" s="1257"/>
      <c r="O799" s="1339"/>
      <c r="P799" s="1339"/>
      <c r="Q799" s="1339"/>
      <c r="R799" s="1339"/>
      <c r="S799" s="1339"/>
      <c r="T799" s="1252"/>
      <c r="U799" s="1253"/>
      <c r="V799" s="1253"/>
      <c r="W799" s="1254"/>
      <c r="X799" s="1302"/>
      <c r="Y799" s="1303"/>
      <c r="Z799" s="1303"/>
      <c r="AA799" s="1303"/>
      <c r="AB799" s="1304"/>
      <c r="AC799" s="1305">
        <f t="shared" si="42"/>
        <v>0</v>
      </c>
      <c r="AD799" s="1300"/>
      <c r="AE799" s="1300"/>
      <c r="AF799" s="1300"/>
      <c r="AG799" s="130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28">
        <f t="shared" si="43"/>
        <v>0</v>
      </c>
      <c r="CQ799" s="1429"/>
      <c r="CR799" s="1429"/>
      <c r="CS799" s="1429"/>
      <c r="CT799" s="1430"/>
      <c r="CU799" s="1428">
        <f t="shared" si="44"/>
        <v>0</v>
      </c>
      <c r="CV799" s="1429"/>
      <c r="CW799" s="1429"/>
      <c r="CX799" s="1429"/>
      <c r="CY799" s="1430"/>
      <c r="CZ799" s="1428">
        <f t="shared" si="45"/>
        <v>0</v>
      </c>
      <c r="DA799" s="1429"/>
      <c r="DB799" s="1429"/>
      <c r="DC799" s="1429"/>
      <c r="DD799" s="1430"/>
      <c r="DE799" s="1428">
        <f t="shared" si="46"/>
        <v>0</v>
      </c>
      <c r="DF799" s="1429"/>
      <c r="DG799" s="1429"/>
      <c r="DH799" s="1429"/>
      <c r="DI799" s="1430"/>
      <c r="DJ799" s="1428">
        <f t="shared" si="47"/>
        <v>0</v>
      </c>
      <c r="DK799" s="1429"/>
      <c r="DL799" s="1429"/>
      <c r="DM799" s="1429"/>
      <c r="DN799" s="1430"/>
      <c r="DO799" s="1428">
        <f t="shared" si="48"/>
        <v>0</v>
      </c>
      <c r="DP799" s="1429"/>
      <c r="DQ799" s="1429"/>
      <c r="DR799" s="1429"/>
      <c r="DS799" s="1430"/>
      <c r="DT799" s="257"/>
      <c r="DU799" s="1428">
        <f t="shared" si="49"/>
        <v>0</v>
      </c>
      <c r="DV799" s="1429"/>
      <c r="DW799" s="1429"/>
      <c r="DX799" s="1429"/>
      <c r="DY799" s="1430"/>
      <c r="DZ799" s="1428">
        <f t="shared" si="50"/>
        <v>0</v>
      </c>
      <c r="EA799" s="1429"/>
      <c r="EB799" s="1429"/>
      <c r="EC799" s="1429"/>
      <c r="ED799" s="1430"/>
      <c r="EE799" s="1428">
        <f t="shared" si="51"/>
        <v>0</v>
      </c>
      <c r="EF799" s="1429"/>
      <c r="EG799" s="1429"/>
      <c r="EH799" s="1429"/>
      <c r="EI799" s="1430"/>
      <c r="EJ799" s="1428">
        <f t="shared" si="52"/>
        <v>0</v>
      </c>
      <c r="EK799" s="1429"/>
      <c r="EL799" s="1429"/>
      <c r="EM799" s="1429"/>
      <c r="EN799" s="1430"/>
      <c r="EO799" s="1428">
        <f t="shared" si="53"/>
        <v>0</v>
      </c>
      <c r="EP799" s="1429"/>
      <c r="EQ799" s="1429"/>
      <c r="ER799" s="1429"/>
      <c r="ES799" s="1430"/>
      <c r="ET799" s="1428">
        <f t="shared" si="54"/>
        <v>0</v>
      </c>
      <c r="EU799" s="1429"/>
      <c r="EV799" s="1429"/>
      <c r="EW799" s="1429"/>
      <c r="EX799" s="1430"/>
    </row>
    <row r="800" spans="1:154" s="13" customFormat="1" ht="12.95" customHeight="1">
      <c r="A800"/>
      <c r="B800"/>
      <c r="C800"/>
      <c r="D800"/>
      <c r="E800"/>
      <c r="F800"/>
      <c r="G800"/>
      <c r="H800"/>
      <c r="I800"/>
      <c r="J800" s="1255"/>
      <c r="K800" s="1256"/>
      <c r="L800" s="1256"/>
      <c r="M800" s="1256"/>
      <c r="N800" s="1257"/>
      <c r="O800" s="1339"/>
      <c r="P800" s="1339"/>
      <c r="Q800" s="1339"/>
      <c r="R800" s="1339"/>
      <c r="S800" s="1339"/>
      <c r="T800" s="1252"/>
      <c r="U800" s="1253"/>
      <c r="V800" s="1253"/>
      <c r="W800" s="1254"/>
      <c r="X800" s="1302"/>
      <c r="Y800" s="1303"/>
      <c r="Z800" s="1303"/>
      <c r="AA800" s="1303"/>
      <c r="AB800" s="1304"/>
      <c r="AC800" s="1305">
        <f t="shared" si="42"/>
        <v>0</v>
      </c>
      <c r="AD800" s="1300"/>
      <c r="AE800" s="1300"/>
      <c r="AF800" s="1300"/>
      <c r="AG800" s="130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28">
        <f t="shared" si="43"/>
        <v>0</v>
      </c>
      <c r="CQ800" s="1429"/>
      <c r="CR800" s="1429"/>
      <c r="CS800" s="1429"/>
      <c r="CT800" s="1430"/>
      <c r="CU800" s="1428">
        <f t="shared" si="44"/>
        <v>0</v>
      </c>
      <c r="CV800" s="1429"/>
      <c r="CW800" s="1429"/>
      <c r="CX800" s="1429"/>
      <c r="CY800" s="1430"/>
      <c r="CZ800" s="1428">
        <f t="shared" si="45"/>
        <v>0</v>
      </c>
      <c r="DA800" s="1429"/>
      <c r="DB800" s="1429"/>
      <c r="DC800" s="1429"/>
      <c r="DD800" s="1430"/>
      <c r="DE800" s="1428">
        <f t="shared" si="46"/>
        <v>0</v>
      </c>
      <c r="DF800" s="1429"/>
      <c r="DG800" s="1429"/>
      <c r="DH800" s="1429"/>
      <c r="DI800" s="1430"/>
      <c r="DJ800" s="1428">
        <f t="shared" si="47"/>
        <v>0</v>
      </c>
      <c r="DK800" s="1429"/>
      <c r="DL800" s="1429"/>
      <c r="DM800" s="1429"/>
      <c r="DN800" s="1430"/>
      <c r="DO800" s="1428">
        <f t="shared" si="48"/>
        <v>0</v>
      </c>
      <c r="DP800" s="1429"/>
      <c r="DQ800" s="1429"/>
      <c r="DR800" s="1429"/>
      <c r="DS800" s="1430"/>
      <c r="DT800" s="257"/>
      <c r="DU800" s="1428">
        <f t="shared" si="49"/>
        <v>0</v>
      </c>
      <c r="DV800" s="1429"/>
      <c r="DW800" s="1429"/>
      <c r="DX800" s="1429"/>
      <c r="DY800" s="1430"/>
      <c r="DZ800" s="1428">
        <f t="shared" si="50"/>
        <v>0</v>
      </c>
      <c r="EA800" s="1429"/>
      <c r="EB800" s="1429"/>
      <c r="EC800" s="1429"/>
      <c r="ED800" s="1430"/>
      <c r="EE800" s="1428">
        <f t="shared" si="51"/>
        <v>0</v>
      </c>
      <c r="EF800" s="1429"/>
      <c r="EG800" s="1429"/>
      <c r="EH800" s="1429"/>
      <c r="EI800" s="1430"/>
      <c r="EJ800" s="1428">
        <f t="shared" si="52"/>
        <v>0</v>
      </c>
      <c r="EK800" s="1429"/>
      <c r="EL800" s="1429"/>
      <c r="EM800" s="1429"/>
      <c r="EN800" s="1430"/>
      <c r="EO800" s="1428">
        <f t="shared" si="53"/>
        <v>0</v>
      </c>
      <c r="EP800" s="1429"/>
      <c r="EQ800" s="1429"/>
      <c r="ER800" s="1429"/>
      <c r="ES800" s="1430"/>
      <c r="ET800" s="1428">
        <f t="shared" si="54"/>
        <v>0</v>
      </c>
      <c r="EU800" s="1429"/>
      <c r="EV800" s="1429"/>
      <c r="EW800" s="1429"/>
      <c r="EX800" s="1430"/>
    </row>
    <row r="801" spans="1:154" s="13" customFormat="1" ht="12.95" customHeight="1">
      <c r="A801"/>
      <c r="B801"/>
      <c r="C801"/>
      <c r="D801"/>
      <c r="E801"/>
      <c r="F801"/>
      <c r="G801"/>
      <c r="H801"/>
      <c r="I801"/>
      <c r="J801" s="1255"/>
      <c r="K801" s="1256"/>
      <c r="L801" s="1256"/>
      <c r="M801" s="1256"/>
      <c r="N801" s="1257"/>
      <c r="O801" s="1339"/>
      <c r="P801" s="1339"/>
      <c r="Q801" s="1339"/>
      <c r="R801" s="1339"/>
      <c r="S801" s="1339"/>
      <c r="T801" s="1252"/>
      <c r="U801" s="1253"/>
      <c r="V801" s="1253"/>
      <c r="W801" s="1254"/>
      <c r="X801" s="1302"/>
      <c r="Y801" s="1303"/>
      <c r="Z801" s="1303"/>
      <c r="AA801" s="1303"/>
      <c r="AB801" s="1304"/>
      <c r="AC801" s="1305">
        <f t="shared" si="42"/>
        <v>0</v>
      </c>
      <c r="AD801" s="1300"/>
      <c r="AE801" s="1300"/>
      <c r="AF801" s="1300"/>
      <c r="AG801" s="130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28">
        <f t="shared" si="43"/>
        <v>0</v>
      </c>
      <c r="CQ801" s="1429"/>
      <c r="CR801" s="1429"/>
      <c r="CS801" s="1429"/>
      <c r="CT801" s="1430"/>
      <c r="CU801" s="1428">
        <f t="shared" si="44"/>
        <v>0</v>
      </c>
      <c r="CV801" s="1429"/>
      <c r="CW801" s="1429"/>
      <c r="CX801" s="1429"/>
      <c r="CY801" s="1430"/>
      <c r="CZ801" s="1428">
        <f t="shared" si="45"/>
        <v>0</v>
      </c>
      <c r="DA801" s="1429"/>
      <c r="DB801" s="1429"/>
      <c r="DC801" s="1429"/>
      <c r="DD801" s="1430"/>
      <c r="DE801" s="1428">
        <f t="shared" si="46"/>
        <v>0</v>
      </c>
      <c r="DF801" s="1429"/>
      <c r="DG801" s="1429"/>
      <c r="DH801" s="1429"/>
      <c r="DI801" s="1430"/>
      <c r="DJ801" s="1428">
        <f t="shared" si="47"/>
        <v>0</v>
      </c>
      <c r="DK801" s="1429"/>
      <c r="DL801" s="1429"/>
      <c r="DM801" s="1429"/>
      <c r="DN801" s="1430"/>
      <c r="DO801" s="1428">
        <f t="shared" si="48"/>
        <v>0</v>
      </c>
      <c r="DP801" s="1429"/>
      <c r="DQ801" s="1429"/>
      <c r="DR801" s="1429"/>
      <c r="DS801" s="1430"/>
      <c r="DT801" s="257"/>
      <c r="DU801" s="1428">
        <f t="shared" si="49"/>
        <v>0</v>
      </c>
      <c r="DV801" s="1429"/>
      <c r="DW801" s="1429"/>
      <c r="DX801" s="1429"/>
      <c r="DY801" s="1430"/>
      <c r="DZ801" s="1428">
        <f t="shared" si="50"/>
        <v>0</v>
      </c>
      <c r="EA801" s="1429"/>
      <c r="EB801" s="1429"/>
      <c r="EC801" s="1429"/>
      <c r="ED801" s="1430"/>
      <c r="EE801" s="1428">
        <f t="shared" si="51"/>
        <v>0</v>
      </c>
      <c r="EF801" s="1429"/>
      <c r="EG801" s="1429"/>
      <c r="EH801" s="1429"/>
      <c r="EI801" s="1430"/>
      <c r="EJ801" s="1428">
        <f t="shared" si="52"/>
        <v>0</v>
      </c>
      <c r="EK801" s="1429"/>
      <c r="EL801" s="1429"/>
      <c r="EM801" s="1429"/>
      <c r="EN801" s="1430"/>
      <c r="EO801" s="1428">
        <f t="shared" si="53"/>
        <v>0</v>
      </c>
      <c r="EP801" s="1429"/>
      <c r="EQ801" s="1429"/>
      <c r="ER801" s="1429"/>
      <c r="ES801" s="1430"/>
      <c r="ET801" s="1428">
        <f t="shared" si="54"/>
        <v>0</v>
      </c>
      <c r="EU801" s="1429"/>
      <c r="EV801" s="1429"/>
      <c r="EW801" s="1429"/>
      <c r="EX801" s="1430"/>
    </row>
    <row r="802" spans="1:154" s="13" customFormat="1" ht="12.95" customHeight="1">
      <c r="A802"/>
      <c r="B802"/>
      <c r="C802"/>
      <c r="D802"/>
      <c r="E802"/>
      <c r="F802"/>
      <c r="G802"/>
      <c r="H802"/>
      <c r="I802"/>
      <c r="J802" s="1255"/>
      <c r="K802" s="1256"/>
      <c r="L802" s="1256"/>
      <c r="M802" s="1256"/>
      <c r="N802" s="1257"/>
      <c r="O802" s="1339"/>
      <c r="P802" s="1339"/>
      <c r="Q802" s="1339"/>
      <c r="R802" s="1339"/>
      <c r="S802" s="1339"/>
      <c r="T802" s="1252"/>
      <c r="U802" s="1253"/>
      <c r="V802" s="1253"/>
      <c r="W802" s="1254"/>
      <c r="X802" s="1302"/>
      <c r="Y802" s="1303"/>
      <c r="Z802" s="1303"/>
      <c r="AA802" s="1303"/>
      <c r="AB802" s="1304"/>
      <c r="AC802" s="1305">
        <f t="shared" si="42"/>
        <v>0</v>
      </c>
      <c r="AD802" s="1300"/>
      <c r="AE802" s="1300"/>
      <c r="AF802" s="1300"/>
      <c r="AG802" s="130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28">
        <f t="shared" si="43"/>
        <v>0</v>
      </c>
      <c r="CQ802" s="1429"/>
      <c r="CR802" s="1429"/>
      <c r="CS802" s="1429"/>
      <c r="CT802" s="1430"/>
      <c r="CU802" s="1428">
        <f t="shared" si="44"/>
        <v>0</v>
      </c>
      <c r="CV802" s="1429"/>
      <c r="CW802" s="1429"/>
      <c r="CX802" s="1429"/>
      <c r="CY802" s="1430"/>
      <c r="CZ802" s="1428">
        <f t="shared" si="45"/>
        <v>0</v>
      </c>
      <c r="DA802" s="1429"/>
      <c r="DB802" s="1429"/>
      <c r="DC802" s="1429"/>
      <c r="DD802" s="1430"/>
      <c r="DE802" s="1428">
        <f t="shared" si="46"/>
        <v>0</v>
      </c>
      <c r="DF802" s="1429"/>
      <c r="DG802" s="1429"/>
      <c r="DH802" s="1429"/>
      <c r="DI802" s="1430"/>
      <c r="DJ802" s="1428">
        <f t="shared" si="47"/>
        <v>0</v>
      </c>
      <c r="DK802" s="1429"/>
      <c r="DL802" s="1429"/>
      <c r="DM802" s="1429"/>
      <c r="DN802" s="1430"/>
      <c r="DO802" s="1428">
        <f t="shared" si="48"/>
        <v>0</v>
      </c>
      <c r="DP802" s="1429"/>
      <c r="DQ802" s="1429"/>
      <c r="DR802" s="1429"/>
      <c r="DS802" s="1430"/>
      <c r="DT802" s="257"/>
      <c r="DU802" s="1428">
        <f t="shared" si="49"/>
        <v>0</v>
      </c>
      <c r="DV802" s="1429"/>
      <c r="DW802" s="1429"/>
      <c r="DX802" s="1429"/>
      <c r="DY802" s="1430"/>
      <c r="DZ802" s="1428">
        <f t="shared" si="50"/>
        <v>0</v>
      </c>
      <c r="EA802" s="1429"/>
      <c r="EB802" s="1429"/>
      <c r="EC802" s="1429"/>
      <c r="ED802" s="1430"/>
      <c r="EE802" s="1428">
        <f t="shared" si="51"/>
        <v>0</v>
      </c>
      <c r="EF802" s="1429"/>
      <c r="EG802" s="1429"/>
      <c r="EH802" s="1429"/>
      <c r="EI802" s="1430"/>
      <c r="EJ802" s="1428">
        <f t="shared" si="52"/>
        <v>0</v>
      </c>
      <c r="EK802" s="1429"/>
      <c r="EL802" s="1429"/>
      <c r="EM802" s="1429"/>
      <c r="EN802" s="1430"/>
      <c r="EO802" s="1428">
        <f t="shared" si="53"/>
        <v>0</v>
      </c>
      <c r="EP802" s="1429"/>
      <c r="EQ802" s="1429"/>
      <c r="ER802" s="1429"/>
      <c r="ES802" s="1430"/>
      <c r="ET802" s="1428">
        <f t="shared" si="54"/>
        <v>0</v>
      </c>
      <c r="EU802" s="1429"/>
      <c r="EV802" s="1429"/>
      <c r="EW802" s="1429"/>
      <c r="EX802" s="1430"/>
    </row>
    <row r="803" spans="1:154" s="13" customFormat="1" ht="12.95" customHeight="1">
      <c r="A803"/>
      <c r="B803"/>
      <c r="C803"/>
      <c r="D803"/>
      <c r="E803"/>
      <c r="F803"/>
      <c r="G803"/>
      <c r="H803"/>
      <c r="I803"/>
      <c r="J803" s="1255"/>
      <c r="K803" s="1256"/>
      <c r="L803" s="1256"/>
      <c r="M803" s="1256"/>
      <c r="N803" s="1257"/>
      <c r="O803" s="1339"/>
      <c r="P803" s="1339"/>
      <c r="Q803" s="1339"/>
      <c r="R803" s="1339"/>
      <c r="S803" s="1339"/>
      <c r="T803" s="1252"/>
      <c r="U803" s="1253"/>
      <c r="V803" s="1253"/>
      <c r="W803" s="1254"/>
      <c r="X803" s="1302"/>
      <c r="Y803" s="1303"/>
      <c r="Z803" s="1303"/>
      <c r="AA803" s="1303"/>
      <c r="AB803" s="1304"/>
      <c r="AC803" s="1305">
        <f t="shared" si="42"/>
        <v>0</v>
      </c>
      <c r="AD803" s="1300"/>
      <c r="AE803" s="1300"/>
      <c r="AF803" s="1300"/>
      <c r="AG803" s="130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28">
        <f t="shared" si="43"/>
        <v>0</v>
      </c>
      <c r="CQ803" s="1429"/>
      <c r="CR803" s="1429"/>
      <c r="CS803" s="1429"/>
      <c r="CT803" s="1430"/>
      <c r="CU803" s="1428">
        <f t="shared" si="44"/>
        <v>0</v>
      </c>
      <c r="CV803" s="1429"/>
      <c r="CW803" s="1429"/>
      <c r="CX803" s="1429"/>
      <c r="CY803" s="1430"/>
      <c r="CZ803" s="1428">
        <f t="shared" si="45"/>
        <v>0</v>
      </c>
      <c r="DA803" s="1429"/>
      <c r="DB803" s="1429"/>
      <c r="DC803" s="1429"/>
      <c r="DD803" s="1430"/>
      <c r="DE803" s="1428">
        <f t="shared" si="46"/>
        <v>0</v>
      </c>
      <c r="DF803" s="1429"/>
      <c r="DG803" s="1429"/>
      <c r="DH803" s="1429"/>
      <c r="DI803" s="1430"/>
      <c r="DJ803" s="1428">
        <f t="shared" si="47"/>
        <v>0</v>
      </c>
      <c r="DK803" s="1429"/>
      <c r="DL803" s="1429"/>
      <c r="DM803" s="1429"/>
      <c r="DN803" s="1430"/>
      <c r="DO803" s="1428">
        <f t="shared" si="48"/>
        <v>0</v>
      </c>
      <c r="DP803" s="1429"/>
      <c r="DQ803" s="1429"/>
      <c r="DR803" s="1429"/>
      <c r="DS803" s="1430"/>
      <c r="DT803" s="257"/>
      <c r="DU803" s="1428">
        <f t="shared" si="49"/>
        <v>0</v>
      </c>
      <c r="DV803" s="1429"/>
      <c r="DW803" s="1429"/>
      <c r="DX803" s="1429"/>
      <c r="DY803" s="1430"/>
      <c r="DZ803" s="1428">
        <f t="shared" si="50"/>
        <v>0</v>
      </c>
      <c r="EA803" s="1429"/>
      <c r="EB803" s="1429"/>
      <c r="EC803" s="1429"/>
      <c r="ED803" s="1430"/>
      <c r="EE803" s="1428">
        <f t="shared" si="51"/>
        <v>0</v>
      </c>
      <c r="EF803" s="1429"/>
      <c r="EG803" s="1429"/>
      <c r="EH803" s="1429"/>
      <c r="EI803" s="1430"/>
      <c r="EJ803" s="1428">
        <f t="shared" si="52"/>
        <v>0</v>
      </c>
      <c r="EK803" s="1429"/>
      <c r="EL803" s="1429"/>
      <c r="EM803" s="1429"/>
      <c r="EN803" s="1430"/>
      <c r="EO803" s="1428">
        <f t="shared" si="53"/>
        <v>0</v>
      </c>
      <c r="EP803" s="1429"/>
      <c r="EQ803" s="1429"/>
      <c r="ER803" s="1429"/>
      <c r="ES803" s="1430"/>
      <c r="ET803" s="1428">
        <f t="shared" si="54"/>
        <v>0</v>
      </c>
      <c r="EU803" s="1429"/>
      <c r="EV803" s="1429"/>
      <c r="EW803" s="1429"/>
      <c r="EX803" s="1430"/>
    </row>
    <row r="804" spans="1:154" s="4" customFormat="1" ht="12.95" customHeight="1">
      <c r="A804"/>
      <c r="B804"/>
      <c r="C804"/>
      <c r="D804"/>
      <c r="E804"/>
      <c r="F804"/>
      <c r="G804"/>
      <c r="H804"/>
      <c r="I804"/>
      <c r="J804" s="1255"/>
      <c r="K804" s="1256"/>
      <c r="L804" s="1256"/>
      <c r="M804" s="1256"/>
      <c r="N804" s="1257"/>
      <c r="O804" s="1339"/>
      <c r="P804" s="1339"/>
      <c r="Q804" s="1339"/>
      <c r="R804" s="1339"/>
      <c r="S804" s="1339"/>
      <c r="T804" s="1252"/>
      <c r="U804" s="1253"/>
      <c r="V804" s="1253"/>
      <c r="W804" s="1254"/>
      <c r="X804" s="1302"/>
      <c r="Y804" s="1303"/>
      <c r="Z804" s="1303"/>
      <c r="AA804" s="1303"/>
      <c r="AB804" s="1304"/>
      <c r="AC804" s="1305">
        <f t="shared" si="42"/>
        <v>0</v>
      </c>
      <c r="AD804" s="1300"/>
      <c r="AE804" s="1300"/>
      <c r="AF804" s="1300"/>
      <c r="AG804" s="1306"/>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28">
        <f t="shared" si="43"/>
        <v>0</v>
      </c>
      <c r="CQ804" s="1429"/>
      <c r="CR804" s="1429"/>
      <c r="CS804" s="1429"/>
      <c r="CT804" s="1430"/>
      <c r="CU804" s="1428">
        <f t="shared" si="44"/>
        <v>0</v>
      </c>
      <c r="CV804" s="1429"/>
      <c r="CW804" s="1429"/>
      <c r="CX804" s="1429"/>
      <c r="CY804" s="1430"/>
      <c r="CZ804" s="1428">
        <f t="shared" si="45"/>
        <v>0</v>
      </c>
      <c r="DA804" s="1429"/>
      <c r="DB804" s="1429"/>
      <c r="DC804" s="1429"/>
      <c r="DD804" s="1430"/>
      <c r="DE804" s="1428">
        <f t="shared" si="46"/>
        <v>0</v>
      </c>
      <c r="DF804" s="1429"/>
      <c r="DG804" s="1429"/>
      <c r="DH804" s="1429"/>
      <c r="DI804" s="1430"/>
      <c r="DJ804" s="1428">
        <f t="shared" si="47"/>
        <v>0</v>
      </c>
      <c r="DK804" s="1429"/>
      <c r="DL804" s="1429"/>
      <c r="DM804" s="1429"/>
      <c r="DN804" s="1430"/>
      <c r="DO804" s="1428">
        <f t="shared" si="48"/>
        <v>0</v>
      </c>
      <c r="DP804" s="1429"/>
      <c r="DQ804" s="1429"/>
      <c r="DR804" s="1429"/>
      <c r="DS804" s="1430"/>
      <c r="DT804" s="257"/>
      <c r="DU804" s="1428">
        <f t="shared" si="49"/>
        <v>0</v>
      </c>
      <c r="DV804" s="1429"/>
      <c r="DW804" s="1429"/>
      <c r="DX804" s="1429"/>
      <c r="DY804" s="1430"/>
      <c r="DZ804" s="1428">
        <f t="shared" si="50"/>
        <v>0</v>
      </c>
      <c r="EA804" s="1429"/>
      <c r="EB804" s="1429"/>
      <c r="EC804" s="1429"/>
      <c r="ED804" s="1430"/>
      <c r="EE804" s="1428">
        <f t="shared" si="51"/>
        <v>0</v>
      </c>
      <c r="EF804" s="1429"/>
      <c r="EG804" s="1429"/>
      <c r="EH804" s="1429"/>
      <c r="EI804" s="1430"/>
      <c r="EJ804" s="1428">
        <f t="shared" si="52"/>
        <v>0</v>
      </c>
      <c r="EK804" s="1429"/>
      <c r="EL804" s="1429"/>
      <c r="EM804" s="1429"/>
      <c r="EN804" s="1430"/>
      <c r="EO804" s="1428">
        <f t="shared" si="53"/>
        <v>0</v>
      </c>
      <c r="EP804" s="1429"/>
      <c r="EQ804" s="1429"/>
      <c r="ER804" s="1429"/>
      <c r="ES804" s="1430"/>
      <c r="ET804" s="1428">
        <f t="shared" si="54"/>
        <v>0</v>
      </c>
      <c r="EU804" s="1429"/>
      <c r="EV804" s="1429"/>
      <c r="EW804" s="1429"/>
      <c r="EX804" s="1430"/>
    </row>
    <row r="805" spans="1:154" s="4" customFormat="1" ht="12.95" customHeight="1">
      <c r="A805"/>
      <c r="B805"/>
      <c r="C805"/>
      <c r="D805"/>
      <c r="E805"/>
      <c r="F805"/>
      <c r="G805"/>
      <c r="H805"/>
      <c r="I805"/>
      <c r="J805" s="1423" t="s">
        <v>1503</v>
      </c>
      <c r="K805" s="1424"/>
      <c r="L805" s="1424"/>
      <c r="M805" s="1424"/>
      <c r="N805" s="1425"/>
      <c r="O805" s="1431">
        <f>SUM(O795:S804)</f>
        <v>0</v>
      </c>
      <c r="P805" s="1431"/>
      <c r="Q805" s="1431"/>
      <c r="R805" s="1431"/>
      <c r="S805" s="1431"/>
      <c r="T805"/>
      <c r="U805"/>
      <c r="V805"/>
      <c r="W805"/>
      <c r="X805" s="794" t="s">
        <v>1504</v>
      </c>
      <c r="Y805" s="10"/>
      <c r="Z805" s="10"/>
      <c r="AA805" s="10"/>
      <c r="AB805" s="801"/>
      <c r="AC805" s="1305">
        <f>SUM(AC795:AG804)</f>
        <v>0</v>
      </c>
      <c r="AD805" s="1300"/>
      <c r="AE805" s="1300"/>
      <c r="AF805" s="1300"/>
      <c r="AG805" s="1306"/>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32">
        <f>SUM(CP795:CT804)</f>
        <v>0</v>
      </c>
      <c r="CQ805" s="1433"/>
      <c r="CR805" s="1433"/>
      <c r="CS805" s="1433"/>
      <c r="CT805" s="1434"/>
      <c r="CU805" s="1432">
        <f>SUM(CU795:CY804)</f>
        <v>0</v>
      </c>
      <c r="CV805" s="1433"/>
      <c r="CW805" s="1433"/>
      <c r="CX805" s="1433"/>
      <c r="CY805" s="1434"/>
      <c r="CZ805" s="1432">
        <f>SUM(CZ795:DD804)</f>
        <v>0</v>
      </c>
      <c r="DA805" s="1433"/>
      <c r="DB805" s="1433"/>
      <c r="DC805" s="1433"/>
      <c r="DD805" s="1434"/>
      <c r="DE805" s="1432">
        <f>SUM(DE795:DI804)</f>
        <v>0</v>
      </c>
      <c r="DF805" s="1433"/>
      <c r="DG805" s="1433"/>
      <c r="DH805" s="1433"/>
      <c r="DI805" s="1434"/>
      <c r="DJ805" s="1432">
        <f>SUM(DJ795:DN804)</f>
        <v>0</v>
      </c>
      <c r="DK805" s="1433"/>
      <c r="DL805" s="1433"/>
      <c r="DM805" s="1433"/>
      <c r="DN805" s="1434"/>
      <c r="DO805" s="1432">
        <f>SUM(DO795:DS804)</f>
        <v>0</v>
      </c>
      <c r="DP805" s="1433"/>
      <c r="DQ805" s="1433"/>
      <c r="DR805" s="1433"/>
      <c r="DS805" s="1434"/>
      <c r="DT805" s="257"/>
      <c r="DU805" s="1432">
        <f>SUM(DU795:DY804)</f>
        <v>0</v>
      </c>
      <c r="DV805" s="1433"/>
      <c r="DW805" s="1433"/>
      <c r="DX805" s="1433"/>
      <c r="DY805" s="1434"/>
      <c r="DZ805" s="1432">
        <f>SUM(DZ795:ED804)</f>
        <v>0</v>
      </c>
      <c r="EA805" s="1433"/>
      <c r="EB805" s="1433"/>
      <c r="EC805" s="1433"/>
      <c r="ED805" s="1434"/>
      <c r="EE805" s="1432">
        <f>SUM(EE795:EI804)</f>
        <v>0</v>
      </c>
      <c r="EF805" s="1433"/>
      <c r="EG805" s="1433"/>
      <c r="EH805" s="1433"/>
      <c r="EI805" s="1434"/>
      <c r="EJ805" s="1432">
        <f>SUM(EJ795:EN804)</f>
        <v>0</v>
      </c>
      <c r="EK805" s="1433"/>
      <c r="EL805" s="1433"/>
      <c r="EM805" s="1433"/>
      <c r="EN805" s="1434"/>
      <c r="EO805" s="1432">
        <f>SUM(EO795:ES804)</f>
        <v>0</v>
      </c>
      <c r="EP805" s="1433"/>
      <c r="EQ805" s="1433"/>
      <c r="ER805" s="1433"/>
      <c r="ES805" s="1434"/>
      <c r="ET805" s="1432">
        <f>SUM(ET795:EX804)</f>
        <v>0</v>
      </c>
      <c r="EU805" s="1433"/>
      <c r="EV805" s="1433"/>
      <c r="EW805" s="1433"/>
      <c r="EX805" s="1434"/>
    </row>
    <row r="806" spans="1:154" s="4" customFormat="1" ht="12.95" customHeight="1">
      <c r="A806"/>
      <c r="B806"/>
      <c r="C806" s="1598" t="str">
        <f>IF(O805&lt;&gt;AG447,"! Total market rate units in the Unit Mix Table above does not match the number of  market rate units on row #"&amp;TEXT(ROW(D447),"#"),"")</f>
        <v/>
      </c>
      <c r="D806" s="1598"/>
      <c r="E806" s="1598"/>
      <c r="F806" s="1598"/>
      <c r="G806" s="1598"/>
      <c r="H806" s="1598"/>
      <c r="I806" s="1598"/>
      <c r="J806" s="1598"/>
      <c r="K806" s="1598"/>
      <c r="L806" s="1598"/>
      <c r="M806" s="1598"/>
      <c r="N806" s="1598"/>
      <c r="O806" s="1598"/>
      <c r="P806" s="1598"/>
      <c r="Q806" s="1598"/>
      <c r="R806" s="1598"/>
      <c r="S806" s="1598"/>
      <c r="T806" s="1598"/>
      <c r="U806" s="1598"/>
      <c r="V806" s="1598"/>
      <c r="W806" s="1598"/>
      <c r="X806" s="1598"/>
      <c r="Y806" s="1598"/>
      <c r="Z806" s="1598"/>
      <c r="AA806" s="1598"/>
      <c r="AB806" s="1598"/>
      <c r="AC806" s="1598"/>
      <c r="AD806" s="1598"/>
      <c r="AE806" s="1598"/>
      <c r="AF806" s="1598"/>
      <c r="AG806" s="1598"/>
      <c r="AH806" s="1598"/>
      <c r="AI806" s="1598"/>
      <c r="AJ806" s="1598"/>
      <c r="AK806" s="1598"/>
      <c r="AL806" s="1598"/>
      <c r="AM806" s="1598"/>
      <c r="AN806" s="1598"/>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98"/>
      <c r="D807" s="1598"/>
      <c r="E807" s="1598"/>
      <c r="F807" s="1598"/>
      <c r="G807" s="1598"/>
      <c r="H807" s="1598"/>
      <c r="I807" s="1598"/>
      <c r="J807" s="1598"/>
      <c r="K807" s="1598"/>
      <c r="L807" s="1598"/>
      <c r="M807" s="1598"/>
      <c r="N807" s="1598"/>
      <c r="O807" s="1598"/>
      <c r="P807" s="1598"/>
      <c r="Q807" s="1598"/>
      <c r="R807" s="1598"/>
      <c r="S807" s="1598"/>
      <c r="T807" s="1598"/>
      <c r="U807" s="1598"/>
      <c r="V807" s="1598"/>
      <c r="W807" s="1598"/>
      <c r="X807" s="1598"/>
      <c r="Y807" s="1598"/>
      <c r="Z807" s="1598"/>
      <c r="AA807" s="1598"/>
      <c r="AB807" s="1598"/>
      <c r="AC807" s="1598"/>
      <c r="AD807" s="1598"/>
      <c r="AE807" s="1598"/>
      <c r="AF807" s="1598"/>
      <c r="AG807" s="1598"/>
      <c r="AH807" s="1598"/>
      <c r="AI807" s="1598"/>
      <c r="AJ807" s="1598"/>
      <c r="AK807" s="1598"/>
      <c r="AL807" s="1598"/>
      <c r="AM807" s="1598"/>
      <c r="AN807" s="1598"/>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1526</v>
      </c>
      <c r="DW807" s="3"/>
      <c r="DX807" s="3"/>
      <c r="DY807" s="3"/>
      <c r="DZ807" s="3"/>
      <c r="EA807" s="3"/>
      <c r="EB807" s="3"/>
      <c r="EC807" s="3"/>
      <c r="ED807" s="3"/>
      <c r="EE807" s="3"/>
      <c r="EF807" s="3"/>
      <c r="EG807" s="3"/>
      <c r="EH807" s="3"/>
      <c r="EI807"/>
      <c r="EJ807"/>
      <c r="EK807"/>
      <c r="EL807"/>
      <c r="EM807"/>
      <c r="EN807"/>
      <c r="EO807"/>
      <c r="EP807"/>
      <c r="EQ807"/>
      <c r="ER807"/>
      <c r="ES807" s="48" t="s">
        <v>1527</v>
      </c>
      <c r="ET807" s="1725">
        <f>SUM(DU805:EX805)</f>
        <v>0</v>
      </c>
      <c r="EU807" s="1726"/>
      <c r="EV807" s="1726"/>
      <c r="EW807" s="1726"/>
      <c r="EX807" s="1727"/>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1528</v>
      </c>
      <c r="Y808" s="1559">
        <f>O761+AC785+AC805</f>
        <v>134158</v>
      </c>
      <c r="Z808" s="1559"/>
      <c r="AA808" s="1559"/>
      <c r="AB808" s="1559"/>
      <c r="AC808" s="1559"/>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1530</v>
      </c>
      <c r="Y809" s="1559">
        <f>(O761+AC785+AC805)*12</f>
        <v>1609896</v>
      </c>
      <c r="Z809" s="1559"/>
      <c r="AA809" s="1559"/>
      <c r="AB809" s="1559"/>
      <c r="AC809" s="1559"/>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1531</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32">
        <f>CP761+CP785+CP805</f>
        <v>0</v>
      </c>
      <c r="CQ810" s="1433"/>
      <c r="CR810" s="1433"/>
      <c r="CS810" s="1433"/>
      <c r="CT810" s="1434"/>
      <c r="CU810" s="1432">
        <f>CU761+CU785+CU805</f>
        <v>42</v>
      </c>
      <c r="CV810" s="1433"/>
      <c r="CW810" s="1433"/>
      <c r="CX810" s="1433"/>
      <c r="CY810" s="1434"/>
      <c r="CZ810" s="1432">
        <f>CZ761+CZ785+CZ805</f>
        <v>32</v>
      </c>
      <c r="DA810" s="1433"/>
      <c r="DB810" s="1433"/>
      <c r="DC810" s="1433"/>
      <c r="DD810" s="1434"/>
      <c r="DE810" s="1432">
        <f>DE761+DE785+DE805</f>
        <v>26</v>
      </c>
      <c r="DF810" s="1433"/>
      <c r="DG810" s="1433"/>
      <c r="DH810" s="1433"/>
      <c r="DI810" s="1434"/>
      <c r="DJ810" s="1432">
        <f>DJ761+DJ785+DJ805</f>
        <v>0</v>
      </c>
      <c r="DK810" s="1433"/>
      <c r="DL810" s="1433"/>
      <c r="DM810" s="1433"/>
      <c r="DN810" s="1434"/>
      <c r="DO810" s="1432">
        <f>DO805+DO785+DO761</f>
        <v>0</v>
      </c>
      <c r="DP810" s="1433"/>
      <c r="DQ810" s="1433"/>
      <c r="DR810" s="1433"/>
      <c r="DS810" s="1434"/>
      <c r="DT810" s="3"/>
      <c r="DU810" s="756">
        <f>DU763+DU808</f>
        <v>182</v>
      </c>
      <c r="DV810" s="49" t="s">
        <v>1532</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1025</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1533</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1534</v>
      </c>
      <c r="I814" s="5"/>
      <c r="J814" s="5"/>
      <c r="K814" s="5"/>
      <c r="L814" s="5"/>
      <c r="M814" s="5"/>
      <c r="N814" s="5"/>
      <c r="O814" s="5"/>
      <c r="P814" s="5"/>
      <c r="Q814" s="5"/>
      <c r="R814" s="5"/>
      <c r="S814" s="5"/>
      <c r="T814" s="5"/>
      <c r="U814" s="5"/>
      <c r="V814" s="5"/>
      <c r="W814" s="5"/>
      <c r="X814" s="5"/>
      <c r="Y814" s="5"/>
      <c r="Z814" s="1533">
        <v>27</v>
      </c>
      <c r="AA814" s="1534"/>
      <c r="AB814" s="1534"/>
      <c r="AC814" s="1534"/>
      <c r="AD814" s="1534"/>
      <c r="AE814" s="1535"/>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1535</v>
      </c>
      <c r="I815" s="5"/>
      <c r="J815" s="5"/>
      <c r="K815" s="5"/>
      <c r="L815" s="5"/>
      <c r="M815" s="5"/>
      <c r="N815" s="5"/>
      <c r="O815" s="5"/>
      <c r="P815" s="5"/>
      <c r="Q815" s="5"/>
      <c r="R815" s="5"/>
      <c r="S815" s="5"/>
      <c r="T815" s="5"/>
      <c r="U815" s="5"/>
      <c r="V815" s="5"/>
      <c r="W815" s="5"/>
      <c r="X815" s="5"/>
      <c r="Y815" s="5"/>
      <c r="Z815" s="1619">
        <v>25</v>
      </c>
      <c r="AA815" s="1534"/>
      <c r="AB815" s="1534"/>
      <c r="AC815" s="1534"/>
      <c r="AD815" s="1534"/>
      <c r="AE815" s="1535"/>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1536</v>
      </c>
      <c r="I816" s="5"/>
      <c r="J816" s="5"/>
      <c r="K816" s="5"/>
      <c r="L816" s="5"/>
      <c r="M816" s="5"/>
      <c r="N816" s="5"/>
      <c r="O816" s="5"/>
      <c r="P816" s="5"/>
      <c r="Q816" s="5"/>
      <c r="R816" s="5"/>
      <c r="S816" s="5"/>
      <c r="T816" s="5"/>
      <c r="U816" s="5"/>
      <c r="V816" s="5"/>
      <c r="W816" s="5"/>
      <c r="X816" s="5"/>
      <c r="Y816" s="5"/>
      <c r="Z816" s="1597" t="s">
        <v>826</v>
      </c>
      <c r="AA816" s="1510"/>
      <c r="AB816" s="1510"/>
      <c r="AC816" s="1510"/>
      <c r="AD816" s="1510"/>
      <c r="AE816" s="1511"/>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1537</v>
      </c>
      <c r="Z817" s="1410">
        <f>'Subsidy Contract Calculation'!J40</f>
        <v>557244</v>
      </c>
      <c r="AA817" s="1411"/>
      <c r="AB817" s="1411"/>
      <c r="AC817" s="1411"/>
      <c r="AD817" s="1411"/>
      <c r="AE817" s="141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1037</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1538</v>
      </c>
      <c r="I821" s="5"/>
      <c r="J821" s="5"/>
      <c r="K821" s="5"/>
      <c r="L821" s="5"/>
      <c r="M821" s="5"/>
      <c r="N821" s="5"/>
      <c r="O821" s="5"/>
      <c r="P821" s="5"/>
      <c r="Q821" s="5"/>
      <c r="R821" s="5"/>
      <c r="S821" s="5"/>
      <c r="T821" s="5"/>
      <c r="U821" s="5"/>
      <c r="V821" s="5"/>
      <c r="W821" s="5"/>
      <c r="X821" s="5"/>
      <c r="Y821" s="5"/>
      <c r="Z821" s="1346">
        <v>12000</v>
      </c>
      <c r="AA821" s="1347"/>
      <c r="AB821" s="1347"/>
      <c r="AC821" s="1347"/>
      <c r="AD821" s="1347"/>
      <c r="AE821" s="134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1539</v>
      </c>
      <c r="I822" s="5"/>
      <c r="J822" s="5"/>
      <c r="K822" s="5"/>
      <c r="L822" s="5"/>
      <c r="M822" s="5"/>
      <c r="N822" s="5"/>
      <c r="O822" s="5"/>
      <c r="P822" s="5"/>
      <c r="Q822" s="5"/>
      <c r="R822" s="5"/>
      <c r="S822" s="5"/>
      <c r="T822" s="5"/>
      <c r="U822" s="5"/>
      <c r="V822" s="5"/>
      <c r="W822" s="5"/>
      <c r="X822" s="5"/>
      <c r="Y822" s="5"/>
      <c r="Z822" s="1346"/>
      <c r="AA822" s="1347"/>
      <c r="AB822" s="1347"/>
      <c r="AC822" s="1347"/>
      <c r="AD822" s="1347"/>
      <c r="AE822" s="134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1540</v>
      </c>
      <c r="I823" s="5"/>
      <c r="J823" s="5"/>
      <c r="K823" s="5"/>
      <c r="L823" s="5"/>
      <c r="M823" s="5"/>
      <c r="N823" s="5"/>
      <c r="O823" s="5"/>
      <c r="P823" s="5"/>
      <c r="Q823" s="5"/>
      <c r="R823" s="5"/>
      <c r="S823" s="5"/>
      <c r="T823" s="5"/>
      <c r="U823" s="5"/>
      <c r="V823" s="5"/>
      <c r="W823" s="5"/>
      <c r="X823" s="5"/>
      <c r="Y823" s="5"/>
      <c r="Z823" s="1346"/>
      <c r="AA823" s="1347"/>
      <c r="AB823" s="1347"/>
      <c r="AC823" s="1347"/>
      <c r="AD823" s="1347"/>
      <c r="AE823" s="134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1541</v>
      </c>
      <c r="I824" s="5"/>
      <c r="J824" s="5"/>
      <c r="K824" s="5"/>
      <c r="L824" s="5"/>
      <c r="M824" s="5"/>
      <c r="N824" s="5"/>
      <c r="O824" s="5"/>
      <c r="P824" s="1512" t="s">
        <v>1282</v>
      </c>
      <c r="Q824" s="1513"/>
      <c r="R824" s="1513"/>
      <c r="S824" s="1513"/>
      <c r="T824" s="1513"/>
      <c r="U824" s="1513"/>
      <c r="V824" s="1513"/>
      <c r="W824" s="1513"/>
      <c r="X824" s="1513"/>
      <c r="Y824" s="1514"/>
      <c r="Z824" s="1346"/>
      <c r="AA824" s="1347"/>
      <c r="AB824" s="1347"/>
      <c r="AC824" s="1347"/>
      <c r="AD824" s="1347"/>
      <c r="AE824" s="134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1542</v>
      </c>
      <c r="Z825" s="1410">
        <f>SUM(Z821:AE824)</f>
        <v>12000</v>
      </c>
      <c r="AA825" s="1411"/>
      <c r="AB825" s="1411"/>
      <c r="AC825" s="1411"/>
      <c r="AD825" s="1411"/>
      <c r="AE825" s="141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1543</v>
      </c>
      <c r="Z826" s="1410">
        <f>Z825+Y809+Z817</f>
        <v>2179140</v>
      </c>
      <c r="AA826" s="1411"/>
      <c r="AB826" s="1411"/>
      <c r="AC826" s="1411"/>
      <c r="AD826" s="1411"/>
      <c r="AE826" s="141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1064</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1544</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487" t="s">
        <v>1545</v>
      </c>
      <c r="N831" s="1487"/>
      <c r="O831" s="1487"/>
      <c r="P831" s="1557"/>
      <c r="Q831" s="1569" t="s">
        <v>1546</v>
      </c>
      <c r="R831" s="1569"/>
      <c r="S831" s="1569"/>
      <c r="T831" s="1569"/>
      <c r="U831" s="1569" t="s">
        <v>1547</v>
      </c>
      <c r="V831" s="1569"/>
      <c r="W831" s="1569"/>
      <c r="X831" s="1569"/>
      <c r="Y831" s="1569" t="s">
        <v>1548</v>
      </c>
      <c r="Z831" s="1569"/>
      <c r="AA831" s="1569"/>
      <c r="AB831" s="1569"/>
      <c r="AC831" s="1569" t="s">
        <v>1549</v>
      </c>
      <c r="AD831" s="1569"/>
      <c r="AE831" s="1569"/>
      <c r="AF831" s="1569"/>
      <c r="AG831" s="1620" t="s">
        <v>1550</v>
      </c>
      <c r="AH831" s="1620"/>
      <c r="AI831" s="1620"/>
      <c r="AJ831" s="1620"/>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491"/>
      <c r="N832" s="1491"/>
      <c r="O832" s="1491"/>
      <c r="P832" s="1529"/>
      <c r="Q832" s="1569"/>
      <c r="R832" s="1569"/>
      <c r="S832" s="1569"/>
      <c r="T832" s="1569"/>
      <c r="U832" s="1569"/>
      <c r="V832" s="1569"/>
      <c r="W832" s="1569"/>
      <c r="X832" s="1569"/>
      <c r="Y832" s="1569"/>
      <c r="Z832" s="1569"/>
      <c r="AA832" s="1569"/>
      <c r="AB832" s="1569"/>
      <c r="AC832" s="1569"/>
      <c r="AD832" s="1569"/>
      <c r="AE832" s="1569"/>
      <c r="AF832" s="1569"/>
      <c r="AG832" s="1620"/>
      <c r="AH832" s="1620"/>
      <c r="AI832" s="1620"/>
      <c r="AJ832" s="1620"/>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15" t="s">
        <v>1551</v>
      </c>
      <c r="D833" s="1349"/>
      <c r="E833" s="1349"/>
      <c r="F833" s="1349"/>
      <c r="G833" s="1349"/>
      <c r="H833" s="1349"/>
      <c r="I833" s="40"/>
      <c r="J833" s="40"/>
      <c r="K833" s="40"/>
      <c r="L833" s="41"/>
      <c r="M833" s="1536"/>
      <c r="N833" s="1536"/>
      <c r="O833" s="1536"/>
      <c r="P833" s="1536"/>
      <c r="Q833" s="1536">
        <v>2.48</v>
      </c>
      <c r="R833" s="1536"/>
      <c r="S833" s="1536"/>
      <c r="T833" s="1536"/>
      <c r="U833" s="1536">
        <v>3.06</v>
      </c>
      <c r="V833" s="1536"/>
      <c r="W833" s="1536"/>
      <c r="X833" s="1536"/>
      <c r="Y833" s="1536">
        <v>5</v>
      </c>
      <c r="Z833" s="1536"/>
      <c r="AA833" s="1536"/>
      <c r="AB833" s="1536"/>
      <c r="AC833" s="1435"/>
      <c r="AD833" s="1436"/>
      <c r="AE833" s="1436"/>
      <c r="AF833" s="1437"/>
      <c r="AG833" s="1435"/>
      <c r="AH833" s="1436"/>
      <c r="AI833" s="1436"/>
      <c r="AJ833" s="1437"/>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602" t="s">
        <v>1552</v>
      </c>
      <c r="D834" s="1603"/>
      <c r="E834" s="1603"/>
      <c r="F834" s="1603"/>
      <c r="G834" s="1603"/>
      <c r="H834" s="1603"/>
      <c r="I834" s="5"/>
      <c r="J834" s="5"/>
      <c r="K834" s="5"/>
      <c r="L834" s="38"/>
      <c r="M834" s="1536"/>
      <c r="N834" s="1536"/>
      <c r="O834" s="1536"/>
      <c r="P834" s="1536"/>
      <c r="Q834" s="1536">
        <v>2.5</v>
      </c>
      <c r="R834" s="1536"/>
      <c r="S834" s="1536"/>
      <c r="T834" s="1536"/>
      <c r="U834" s="1536">
        <v>3.01</v>
      </c>
      <c r="V834" s="1536"/>
      <c r="W834" s="1536"/>
      <c r="X834" s="1536"/>
      <c r="Y834" s="1536">
        <v>3.57</v>
      </c>
      <c r="Z834" s="1536"/>
      <c r="AA834" s="1536"/>
      <c r="AB834" s="1536"/>
      <c r="AC834" s="1435"/>
      <c r="AD834" s="1436"/>
      <c r="AE834" s="1436"/>
      <c r="AF834" s="1437"/>
      <c r="AG834" s="1435"/>
      <c r="AH834" s="1436"/>
      <c r="AI834" s="1436"/>
      <c r="AJ834" s="1437"/>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602" t="s">
        <v>1553</v>
      </c>
      <c r="D835" s="1603"/>
      <c r="E835" s="1603"/>
      <c r="F835" s="1603"/>
      <c r="G835" s="1603"/>
      <c r="H835" s="1603"/>
      <c r="I835" s="52"/>
      <c r="J835" s="52"/>
      <c r="K835" s="52"/>
      <c r="L835" s="53"/>
      <c r="M835" s="1536"/>
      <c r="N835" s="1536"/>
      <c r="O835" s="1536"/>
      <c r="P835" s="1536"/>
      <c r="Q835" s="1536">
        <v>2.93</v>
      </c>
      <c r="R835" s="1536"/>
      <c r="S835" s="1536"/>
      <c r="T835" s="1536"/>
      <c r="U835" s="1536">
        <v>3.28</v>
      </c>
      <c r="V835" s="1536"/>
      <c r="W835" s="1536"/>
      <c r="X835" s="1536"/>
      <c r="Y835" s="1536">
        <v>3.91</v>
      </c>
      <c r="Z835" s="1536"/>
      <c r="AA835" s="1536"/>
      <c r="AB835" s="1536"/>
      <c r="AC835" s="1435"/>
      <c r="AD835" s="1436"/>
      <c r="AE835" s="1436"/>
      <c r="AF835" s="1437"/>
      <c r="AG835" s="1435"/>
      <c r="AH835" s="1436"/>
      <c r="AI835" s="1436"/>
      <c r="AJ835" s="1437"/>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602" t="s">
        <v>1554</v>
      </c>
      <c r="D836" s="1603"/>
      <c r="E836" s="1603"/>
      <c r="F836" s="1603"/>
      <c r="G836" s="1603"/>
      <c r="H836" s="1603"/>
      <c r="I836" s="52"/>
      <c r="J836" s="52"/>
      <c r="K836" s="52"/>
      <c r="L836" s="53"/>
      <c r="M836" s="1536"/>
      <c r="N836" s="1536"/>
      <c r="O836" s="1536"/>
      <c r="P836" s="1536"/>
      <c r="Q836" s="1536">
        <v>2.0099999999999998</v>
      </c>
      <c r="R836" s="1536"/>
      <c r="S836" s="1536"/>
      <c r="T836" s="1536"/>
      <c r="U836" s="1536">
        <v>2.16</v>
      </c>
      <c r="V836" s="1536"/>
      <c r="W836" s="1536"/>
      <c r="X836" s="1536"/>
      <c r="Y836" s="1536">
        <v>2.81</v>
      </c>
      <c r="Z836" s="1536"/>
      <c r="AA836" s="1536"/>
      <c r="AB836" s="1536"/>
      <c r="AC836" s="1435"/>
      <c r="AD836" s="1436"/>
      <c r="AE836" s="1436"/>
      <c r="AF836" s="1437"/>
      <c r="AG836" s="1435"/>
      <c r="AH836" s="1436"/>
      <c r="AI836" s="1436"/>
      <c r="AJ836" s="1437"/>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602" t="s">
        <v>1555</v>
      </c>
      <c r="D837" s="1603"/>
      <c r="E837" s="1603"/>
      <c r="F837" s="1603"/>
      <c r="G837" s="1603"/>
      <c r="H837" s="1603"/>
      <c r="I837" s="52"/>
      <c r="J837" s="52"/>
      <c r="K837" s="52"/>
      <c r="L837" s="53"/>
      <c r="M837" s="1536"/>
      <c r="N837" s="1536"/>
      <c r="O837" s="1536"/>
      <c r="P837" s="1536"/>
      <c r="Q837" s="1536"/>
      <c r="R837" s="1536"/>
      <c r="S837" s="1536"/>
      <c r="T837" s="1536"/>
      <c r="U837" s="1536"/>
      <c r="V837" s="1536"/>
      <c r="W837" s="1536"/>
      <c r="X837" s="1536"/>
      <c r="Y837" s="1536"/>
      <c r="Z837" s="1536"/>
      <c r="AA837" s="1536"/>
      <c r="AB837" s="1536"/>
      <c r="AC837" s="1435"/>
      <c r="AD837" s="1436"/>
      <c r="AE837" s="1436"/>
      <c r="AF837" s="1437"/>
      <c r="AG837" s="1435"/>
      <c r="AH837" s="1436"/>
      <c r="AI837" s="1436"/>
      <c r="AJ837" s="1437"/>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13" t="s">
        <v>1556</v>
      </c>
      <c r="D838" s="1603"/>
      <c r="E838" s="1603"/>
      <c r="F838" s="1603"/>
      <c r="G838" s="1603"/>
      <c r="H838" s="1603"/>
      <c r="I838" s="52"/>
      <c r="J838" s="52"/>
      <c r="K838" s="52"/>
      <c r="L838" s="53"/>
      <c r="M838" s="1536"/>
      <c r="N838" s="1536"/>
      <c r="O838" s="1536"/>
      <c r="P838" s="1536"/>
      <c r="Q838" s="1536"/>
      <c r="R838" s="1536"/>
      <c r="S838" s="1536"/>
      <c r="T838" s="1536"/>
      <c r="U838" s="1536"/>
      <c r="V838" s="1536"/>
      <c r="W838" s="1536"/>
      <c r="X838" s="1536"/>
      <c r="Y838" s="1536"/>
      <c r="Z838" s="1536"/>
      <c r="AA838" s="1536"/>
      <c r="AB838" s="1536"/>
      <c r="AC838" s="1435"/>
      <c r="AD838" s="1436"/>
      <c r="AE838" s="1436"/>
      <c r="AF838" s="1437"/>
      <c r="AG838" s="1435"/>
      <c r="AH838" s="1436"/>
      <c r="AI838" s="1436"/>
      <c r="AJ838" s="1437"/>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1557</v>
      </c>
      <c r="D839" s="52"/>
      <c r="E839" s="52"/>
      <c r="F839" s="1512" t="s">
        <v>1558</v>
      </c>
      <c r="G839" s="1513"/>
      <c r="H839" s="1513"/>
      <c r="I839" s="1513"/>
      <c r="J839" s="1513"/>
      <c r="K839" s="1513"/>
      <c r="L839" s="1513"/>
      <c r="M839" s="1536"/>
      <c r="N839" s="1536"/>
      <c r="O839" s="1536"/>
      <c r="P839" s="1536"/>
      <c r="Q839" s="1536">
        <v>8.06</v>
      </c>
      <c r="R839" s="1536"/>
      <c r="S839" s="1536"/>
      <c r="T839" s="1536"/>
      <c r="U839" s="1536">
        <v>8.98</v>
      </c>
      <c r="V839" s="1536"/>
      <c r="W839" s="1536"/>
      <c r="X839" s="1536"/>
      <c r="Y839" s="1536">
        <v>10.84</v>
      </c>
      <c r="Z839" s="1536"/>
      <c r="AA839" s="1536"/>
      <c r="AB839" s="1536"/>
      <c r="AC839" s="1435"/>
      <c r="AD839" s="1436"/>
      <c r="AE839" s="1436"/>
      <c r="AF839" s="1437"/>
      <c r="AG839" s="1435"/>
      <c r="AH839" s="1436"/>
      <c r="AI839" s="1436"/>
      <c r="AJ839" s="1437"/>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23" t="s">
        <v>1504</v>
      </c>
      <c r="D840" s="1424"/>
      <c r="E840" s="1424"/>
      <c r="F840" s="1424"/>
      <c r="G840" s="1424"/>
      <c r="H840" s="1424"/>
      <c r="I840" s="1424"/>
      <c r="J840" s="1424"/>
      <c r="K840" s="1424"/>
      <c r="L840" s="1425"/>
      <c r="M840" s="1556">
        <f>SUM(M833:P839)</f>
        <v>0</v>
      </c>
      <c r="N840" s="1556"/>
      <c r="O840" s="1556"/>
      <c r="P840" s="1556"/>
      <c r="Q840" s="1556">
        <f>SUM(Q833:T839)</f>
        <v>17.98</v>
      </c>
      <c r="R840" s="1556"/>
      <c r="S840" s="1556"/>
      <c r="T840" s="1556"/>
      <c r="U840" s="1556">
        <f>SUM(U833:X839)</f>
        <v>20.490000000000002</v>
      </c>
      <c r="V840" s="1556"/>
      <c r="W840" s="1556"/>
      <c r="X840" s="1556"/>
      <c r="Y840" s="1556">
        <f>SUM(Y833:AB839)</f>
        <v>26.130000000000003</v>
      </c>
      <c r="Z840" s="1556"/>
      <c r="AA840" s="1556"/>
      <c r="AB840" s="1556"/>
      <c r="AC840" s="1556">
        <f>SUM(AC833:AF839)</f>
        <v>0</v>
      </c>
      <c r="AD840" s="1556"/>
      <c r="AE840" s="1556"/>
      <c r="AF840" s="1556"/>
      <c r="AG840" s="1556">
        <f>SUM(AG833:AJ839)</f>
        <v>0</v>
      </c>
      <c r="AH840" s="1556"/>
      <c r="AI840" s="1556"/>
      <c r="AJ840" s="1556"/>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1559</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1560</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1561</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94" t="s">
        <v>1562</v>
      </c>
      <c r="D845" s="1595"/>
      <c r="E845" s="1595"/>
      <c r="F845" s="1595"/>
      <c r="G845" s="1595"/>
      <c r="H845" s="1595"/>
      <c r="I845" s="1595"/>
      <c r="J845" s="1595"/>
      <c r="K845" s="1595"/>
      <c r="L845" s="1595"/>
      <c r="M845" s="1595"/>
      <c r="N845" s="1595"/>
      <c r="O845" s="1595"/>
      <c r="P845" s="1595"/>
      <c r="Q845" s="1595"/>
      <c r="R845" s="1595"/>
      <c r="S845" s="1595"/>
      <c r="T845" s="1595"/>
      <c r="U845" s="1595"/>
      <c r="V845" s="1595"/>
      <c r="W845" s="1595"/>
      <c r="X845" s="1595"/>
      <c r="Y845" s="1595"/>
      <c r="Z845" s="1595"/>
      <c r="AA845" s="1595"/>
      <c r="AB845" s="1595"/>
      <c r="AC845" s="1595"/>
      <c r="AD845" s="1595"/>
      <c r="AE845" s="1595"/>
      <c r="AF845" s="1595"/>
      <c r="AG845" s="1595"/>
      <c r="AH845" s="1595"/>
      <c r="AI845" s="1595"/>
      <c r="AJ845" s="1596"/>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1563</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1121</v>
      </c>
      <c r="B848"/>
      <c r="C848" s="2" t="s">
        <v>1564</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8"/>
      <c r="BJ849" s="1568"/>
      <c r="BK849" s="1568"/>
      <c r="BL849" s="1568"/>
    </row>
    <row r="850" spans="1:64" s="13" customFormat="1" ht="12.95" customHeight="1">
      <c r="A850"/>
      <c r="B850"/>
      <c r="C850" s="2" t="s">
        <v>1565</v>
      </c>
      <c r="D850"/>
      <c r="E850"/>
      <c r="F850"/>
      <c r="G850"/>
      <c r="H850"/>
      <c r="I850"/>
      <c r="J850" s="37" t="s">
        <v>1566</v>
      </c>
      <c r="K850" s="5"/>
      <c r="L850" s="5"/>
      <c r="M850" s="5"/>
      <c r="N850" s="5"/>
      <c r="O850" s="5"/>
      <c r="P850" s="5"/>
      <c r="Q850" s="5"/>
      <c r="R850" s="5"/>
      <c r="S850" s="5"/>
      <c r="T850" s="5"/>
      <c r="U850" s="5"/>
      <c r="V850" s="38"/>
      <c r="W850" s="1392">
        <v>1315</v>
      </c>
      <c r="X850" s="1392"/>
      <c r="Y850" s="1392"/>
      <c r="Z850" s="1392"/>
      <c r="AA850" s="1392"/>
      <c r="AB850" s="1392"/>
      <c r="AC850" s="1392"/>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1567</v>
      </c>
      <c r="K851" s="5"/>
      <c r="L851" s="5"/>
      <c r="M851" s="5"/>
      <c r="N851" s="5"/>
      <c r="O851" s="5"/>
      <c r="P851" s="5"/>
      <c r="Q851" s="5"/>
      <c r="R851" s="5"/>
      <c r="S851" s="5"/>
      <c r="T851" s="5"/>
      <c r="U851" s="5"/>
      <c r="V851" s="38"/>
      <c r="W851" s="1392">
        <v>2537</v>
      </c>
      <c r="X851" s="1392"/>
      <c r="Y851" s="1392"/>
      <c r="Z851" s="1392"/>
      <c r="AA851" s="1392"/>
      <c r="AB851" s="1392"/>
      <c r="AC851" s="1392"/>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1568</v>
      </c>
      <c r="K852" s="5"/>
      <c r="L852" s="5"/>
      <c r="M852" s="5"/>
      <c r="N852" s="5"/>
      <c r="O852" s="5"/>
      <c r="P852" s="5"/>
      <c r="Q852" s="5"/>
      <c r="R852" s="5"/>
      <c r="S852" s="5"/>
      <c r="T852" s="5"/>
      <c r="U852" s="5"/>
      <c r="V852" s="38"/>
      <c r="W852" s="1392">
        <v>31943</v>
      </c>
      <c r="X852" s="1392"/>
      <c r="Y852" s="1392"/>
      <c r="Z852" s="1392"/>
      <c r="AA852" s="1392"/>
      <c r="AB852" s="1392"/>
      <c r="AC852" s="1392"/>
      <c r="AZ852" s="25"/>
      <c r="BA852" s="25"/>
      <c r="BB852" s="13"/>
      <c r="BC852" s="13"/>
      <c r="BD852" s="13"/>
      <c r="BE852" s="13"/>
      <c r="BF852" s="13"/>
      <c r="BG852" s="13"/>
      <c r="BH852" s="13"/>
      <c r="BI852" s="13"/>
      <c r="BJ852" s="13"/>
      <c r="BK852" s="13"/>
      <c r="BL852" s="13"/>
    </row>
    <row r="853" spans="1:64" ht="12.95" customHeight="1">
      <c r="J853" s="37" t="s">
        <v>1569</v>
      </c>
      <c r="K853" s="5"/>
      <c r="L853" s="5"/>
      <c r="M853" s="5"/>
      <c r="N853" s="5"/>
      <c r="O853" s="5"/>
      <c r="P853" s="5"/>
      <c r="Q853" s="5"/>
      <c r="R853" s="5"/>
      <c r="S853" s="5"/>
      <c r="T853" s="5"/>
      <c r="U853" s="5"/>
      <c r="V853" s="38"/>
      <c r="W853" s="1392">
        <v>0</v>
      </c>
      <c r="X853" s="1392"/>
      <c r="Y853" s="1392"/>
      <c r="Z853" s="1392"/>
      <c r="AA853" s="1392"/>
      <c r="AB853" s="1392"/>
      <c r="AC853" s="1392"/>
      <c r="AZ853" s="25"/>
      <c r="BA853" s="25"/>
      <c r="BB853" s="13"/>
      <c r="BC853" s="13"/>
      <c r="BD853" s="13"/>
      <c r="BE853" s="13"/>
      <c r="BF853" s="13"/>
      <c r="BG853" s="13"/>
      <c r="BH853" s="13"/>
      <c r="BI853" s="13"/>
      <c r="BJ853" s="13"/>
      <c r="BK853" s="13"/>
      <c r="BL853" s="13"/>
    </row>
    <row r="854" spans="1:64" ht="12.95" customHeight="1">
      <c r="J854" s="37" t="s">
        <v>233</v>
      </c>
      <c r="K854" s="5"/>
      <c r="L854" s="5"/>
      <c r="M854" s="1512" t="s">
        <v>1570</v>
      </c>
      <c r="N854" s="1513"/>
      <c r="O854" s="1513"/>
      <c r="P854" s="1513"/>
      <c r="Q854" s="1513"/>
      <c r="R854" s="1513"/>
      <c r="S854" s="1513"/>
      <c r="T854" s="1513"/>
      <c r="U854" s="1513"/>
      <c r="V854" s="1514"/>
      <c r="W854" s="1392">
        <v>5312</v>
      </c>
      <c r="X854" s="1392"/>
      <c r="Y854" s="1392"/>
      <c r="Z854" s="1392"/>
      <c r="AA854" s="1392"/>
      <c r="AB854" s="1392"/>
      <c r="AC854" s="1392"/>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1571</v>
      </c>
      <c r="W855" s="1410">
        <f>SUM(W850:W854)</f>
        <v>41107</v>
      </c>
      <c r="X855" s="1411"/>
      <c r="Y855" s="1411"/>
      <c r="Z855" s="1411"/>
      <c r="AA855" s="1411"/>
      <c r="AB855" s="1411"/>
      <c r="AC855" s="141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230"/>
      <c r="BH856" s="1230"/>
      <c r="BI856" s="1230"/>
      <c r="BJ856" s="1230"/>
      <c r="BK856" s="1230"/>
      <c r="BL856" s="1230"/>
    </row>
    <row r="857" spans="1:64" ht="12.95" customHeight="1">
      <c r="C857" s="2" t="s">
        <v>1572</v>
      </c>
      <c r="J857" s="1423" t="s">
        <v>1573</v>
      </c>
      <c r="K857" s="1424"/>
      <c r="L857" s="1424"/>
      <c r="M857" s="1424"/>
      <c r="N857" s="1424"/>
      <c r="O857" s="1424"/>
      <c r="P857" s="1424"/>
      <c r="Q857" s="1424"/>
      <c r="R857" s="1424"/>
      <c r="S857" s="1424"/>
      <c r="T857" s="1424"/>
      <c r="U857" s="1424"/>
      <c r="V857" s="1425"/>
      <c r="W857" s="1346">
        <v>85628</v>
      </c>
      <c r="X857" s="1347"/>
      <c r="Y857" s="1347"/>
      <c r="Z857" s="1347"/>
      <c r="AA857" s="1347"/>
      <c r="AB857" s="1347"/>
      <c r="AC857" s="1348"/>
      <c r="AD857" s="433"/>
      <c r="AZ857" s="25"/>
      <c r="BA857" s="25"/>
      <c r="BB857" s="13"/>
      <c r="BC857" s="13"/>
    </row>
    <row r="858" spans="1:64" ht="12.95" customHeight="1">
      <c r="AD858" s="433"/>
      <c r="AZ858" s="25"/>
      <c r="BA858" s="25"/>
      <c r="BB858" s="13"/>
      <c r="BC858" s="13"/>
    </row>
    <row r="859" spans="1:64" ht="12.95" customHeight="1">
      <c r="C859" s="2" t="s">
        <v>230</v>
      </c>
      <c r="J859" s="37" t="s">
        <v>1574</v>
      </c>
      <c r="K859" s="5"/>
      <c r="L859" s="5"/>
      <c r="M859" s="5"/>
      <c r="N859" s="5"/>
      <c r="O859" s="5"/>
      <c r="P859" s="5"/>
      <c r="Q859" s="5"/>
      <c r="R859" s="5"/>
      <c r="S859" s="5"/>
      <c r="T859" s="5"/>
      <c r="U859" s="5"/>
      <c r="V859" s="38"/>
      <c r="W859" s="1558">
        <v>0</v>
      </c>
      <c r="X859" s="1558"/>
      <c r="Y859" s="1558"/>
      <c r="Z859" s="1558"/>
      <c r="AA859" s="1558"/>
      <c r="AB859" s="1558"/>
      <c r="AC859" s="1558"/>
      <c r="AZ859" s="1614"/>
      <c r="BA859" s="1614"/>
      <c r="BB859" s="13"/>
      <c r="BC859" s="13"/>
    </row>
    <row r="860" spans="1:64" ht="12.95" customHeight="1">
      <c r="J860" s="37" t="s">
        <v>1575</v>
      </c>
      <c r="K860" s="5"/>
      <c r="L860" s="5"/>
      <c r="M860" s="5"/>
      <c r="N860" s="5"/>
      <c r="O860" s="5"/>
      <c r="P860" s="5"/>
      <c r="Q860" s="5"/>
      <c r="R860" s="5"/>
      <c r="S860" s="5"/>
      <c r="T860" s="5"/>
      <c r="U860" s="5"/>
      <c r="V860" s="38"/>
      <c r="W860" s="1558">
        <v>0</v>
      </c>
      <c r="X860" s="1558"/>
      <c r="Y860" s="1558"/>
      <c r="Z860" s="1558"/>
      <c r="AA860" s="1558"/>
      <c r="AB860" s="1558"/>
      <c r="AC860" s="1558"/>
      <c r="AZ860" s="25"/>
      <c r="BA860" s="25"/>
      <c r="BB860" s="13"/>
      <c r="BC860" s="13"/>
    </row>
    <row r="861" spans="1:64" ht="12.95" customHeight="1">
      <c r="J861" s="37" t="s">
        <v>1555</v>
      </c>
      <c r="K861" s="5"/>
      <c r="L861" s="5"/>
      <c r="M861" s="5"/>
      <c r="N861" s="5"/>
      <c r="O861" s="5"/>
      <c r="P861" s="5"/>
      <c r="Q861" s="5"/>
      <c r="R861" s="5"/>
      <c r="S861" s="5"/>
      <c r="T861" s="5"/>
      <c r="U861" s="5"/>
      <c r="V861" s="38"/>
      <c r="W861" s="1558">
        <v>27696</v>
      </c>
      <c r="X861" s="1558"/>
      <c r="Y861" s="1558"/>
      <c r="Z861" s="1558"/>
      <c r="AA861" s="1558"/>
      <c r="AB861" s="1558"/>
      <c r="AC861" s="1558"/>
      <c r="AZ861" s="25"/>
      <c r="BA861" s="25"/>
      <c r="BB861" s="13"/>
      <c r="BC861" s="13"/>
    </row>
    <row r="862" spans="1:64" ht="12.95" customHeight="1">
      <c r="J862" s="1179" t="s">
        <v>1576</v>
      </c>
      <c r="K862" s="5"/>
      <c r="L862" s="5"/>
      <c r="M862" s="5"/>
      <c r="N862" s="5"/>
      <c r="O862" s="5"/>
      <c r="P862" s="5"/>
      <c r="Q862" s="5"/>
      <c r="R862" s="5"/>
      <c r="S862" s="5"/>
      <c r="T862" s="5"/>
      <c r="U862" s="5"/>
      <c r="V862" s="38"/>
      <c r="W862" s="1558">
        <v>73575</v>
      </c>
      <c r="X862" s="1558"/>
      <c r="Y862" s="1558"/>
      <c r="Z862" s="1558"/>
      <c r="AA862" s="1558"/>
      <c r="AB862" s="1558"/>
      <c r="AC862" s="1558"/>
      <c r="AZ862" s="3"/>
      <c r="BA862" s="3"/>
      <c r="BB862" s="3"/>
      <c r="BC862" s="3"/>
    </row>
    <row r="863" spans="1:64" ht="12.95" customHeight="1">
      <c r="J863" s="54"/>
      <c r="K863" s="40"/>
      <c r="L863" s="40"/>
      <c r="M863" s="40"/>
      <c r="N863" s="40"/>
      <c r="O863" s="40"/>
      <c r="P863" s="40"/>
      <c r="Q863" s="40"/>
      <c r="R863" s="40"/>
      <c r="S863" s="40"/>
      <c r="T863" s="40"/>
      <c r="U863" s="40"/>
      <c r="V863" s="46" t="s">
        <v>1577</v>
      </c>
      <c r="W863" s="1605">
        <f>SUM(W859:W862)</f>
        <v>101271</v>
      </c>
      <c r="X863" s="1605"/>
      <c r="Y863" s="1605"/>
      <c r="Z863" s="1605"/>
      <c r="AA863" s="1605"/>
      <c r="AB863" s="1605"/>
      <c r="AC863" s="1605"/>
      <c r="AZ863" s="3"/>
      <c r="BA863" s="3"/>
      <c r="BB863" s="3"/>
      <c r="BC863" s="3"/>
    </row>
    <row r="864" spans="1:64" ht="12.95" customHeight="1">
      <c r="AZ864" s="3"/>
      <c r="BA864" s="3"/>
      <c r="BB864" s="3"/>
      <c r="BC864" s="3"/>
    </row>
    <row r="865" spans="3:55" ht="12.95" customHeight="1">
      <c r="C865" s="2" t="s">
        <v>1578</v>
      </c>
      <c r="J865" s="37" t="s">
        <v>1579</v>
      </c>
      <c r="K865" s="5"/>
      <c r="L865" s="5"/>
      <c r="M865" s="5"/>
      <c r="N865" s="5"/>
      <c r="O865" s="5"/>
      <c r="P865" s="5"/>
      <c r="Q865" s="5"/>
      <c r="R865" s="5"/>
      <c r="S865" s="5"/>
      <c r="T865" s="5"/>
      <c r="U865" s="5"/>
      <c r="V865" s="38"/>
      <c r="W865" s="1537">
        <v>80943</v>
      </c>
      <c r="X865" s="1538"/>
      <c r="Y865" s="1538"/>
      <c r="Z865" s="1538"/>
      <c r="AA865" s="1538"/>
      <c r="AB865" s="1538"/>
      <c r="AC865" s="1539"/>
      <c r="AD865" s="428"/>
      <c r="AZ865" s="3"/>
      <c r="BA865" s="3"/>
      <c r="BB865" s="3"/>
      <c r="BC865" s="3"/>
    </row>
    <row r="866" spans="3:55" ht="12.95" customHeight="1">
      <c r="C866" s="2" t="s">
        <v>1580</v>
      </c>
      <c r="J866" s="87" t="s">
        <v>1581</v>
      </c>
      <c r="K866" s="5"/>
      <c r="L866" s="5"/>
      <c r="M866" s="5"/>
      <c r="N866" s="5"/>
      <c r="O866" s="5"/>
      <c r="P866" s="5"/>
      <c r="Q866" s="5"/>
      <c r="R866" s="5"/>
      <c r="S866" s="5"/>
      <c r="T866" s="1606">
        <v>2</v>
      </c>
      <c r="U866" s="1574"/>
      <c r="V866" s="1607"/>
      <c r="W866" s="769"/>
      <c r="X866" s="770"/>
      <c r="Y866" s="770"/>
      <c r="Z866" s="770"/>
      <c r="AA866" s="770"/>
      <c r="AB866" s="770"/>
      <c r="AC866" s="771"/>
      <c r="AD866" s="428"/>
      <c r="AZ866" s="3"/>
      <c r="BA866" s="3"/>
      <c r="BB866" s="3"/>
      <c r="BC866" s="3"/>
    </row>
    <row r="867" spans="3:55" ht="12.95" customHeight="1">
      <c r="C867" s="2"/>
      <c r="J867" s="37" t="s">
        <v>1582</v>
      </c>
      <c r="K867" s="5"/>
      <c r="L867" s="5"/>
      <c r="M867" s="5"/>
      <c r="N867" s="5"/>
      <c r="O867" s="5"/>
      <c r="P867" s="5"/>
      <c r="Q867" s="5"/>
      <c r="R867" s="5"/>
      <c r="S867" s="5"/>
      <c r="T867" s="5"/>
      <c r="U867" s="5"/>
      <c r="V867" s="38"/>
      <c r="W867" s="1537">
        <v>57200</v>
      </c>
      <c r="X867" s="1538"/>
      <c r="Y867" s="1538"/>
      <c r="Z867" s="1538"/>
      <c r="AA867" s="1538"/>
      <c r="AB867" s="1538"/>
      <c r="AC867" s="1539"/>
      <c r="AD867" s="433"/>
      <c r="AZ867" s="3"/>
      <c r="BA867" s="3"/>
      <c r="BB867" s="3"/>
      <c r="BC867" s="3"/>
    </row>
    <row r="868" spans="3:55" ht="12.95" customHeight="1">
      <c r="C868" s="2"/>
      <c r="J868" s="87" t="s">
        <v>1583</v>
      </c>
      <c r="K868" s="5"/>
      <c r="L868" s="5"/>
      <c r="M868" s="5"/>
      <c r="N868" s="5"/>
      <c r="O868" s="5"/>
      <c r="P868" s="5"/>
      <c r="Q868" s="5"/>
      <c r="R868" s="5"/>
      <c r="S868" s="5"/>
      <c r="T868" s="1606">
        <v>1</v>
      </c>
      <c r="U868" s="1574"/>
      <c r="V868" s="1607"/>
      <c r="W868" s="769"/>
      <c r="X868" s="770"/>
      <c r="Y868" s="770"/>
      <c r="Z868" s="770"/>
      <c r="AA868" s="770"/>
      <c r="AB868" s="770"/>
      <c r="AC868" s="771"/>
      <c r="AD868" s="433"/>
      <c r="AZ868" s="3"/>
      <c r="BA868" s="3"/>
      <c r="BB868" s="3"/>
      <c r="BC868" s="3"/>
    </row>
    <row r="869" spans="3:55" ht="12.95" customHeight="1">
      <c r="J869" s="37" t="s">
        <v>233</v>
      </c>
      <c r="K869" s="5"/>
      <c r="L869" s="5"/>
      <c r="M869" s="1512" t="s">
        <v>1584</v>
      </c>
      <c r="N869" s="1513"/>
      <c r="O869" s="1513"/>
      <c r="P869" s="1513"/>
      <c r="Q869" s="1513"/>
      <c r="R869" s="1513"/>
      <c r="S869" s="1513"/>
      <c r="T869" s="1513"/>
      <c r="U869" s="1513"/>
      <c r="V869" s="1514"/>
      <c r="W869" s="1537">
        <v>82279</v>
      </c>
      <c r="X869" s="1538"/>
      <c r="Y869" s="1538"/>
      <c r="Z869" s="1538"/>
      <c r="AA869" s="1538"/>
      <c r="AB869" s="1538"/>
      <c r="AC869" s="1539"/>
      <c r="AD869" s="428"/>
      <c r="AU869" s="13"/>
      <c r="AZ869" s="3"/>
      <c r="BA869" s="3"/>
      <c r="BB869" s="3"/>
      <c r="BC869" s="3"/>
    </row>
    <row r="870" spans="3:55" ht="12.95" customHeight="1">
      <c r="J870" s="37"/>
      <c r="K870" s="5"/>
      <c r="L870" s="5"/>
      <c r="M870" s="5"/>
      <c r="N870" s="5"/>
      <c r="O870" s="5"/>
      <c r="P870" s="5"/>
      <c r="Q870" s="5"/>
      <c r="R870" s="5"/>
      <c r="S870" s="5"/>
      <c r="T870" s="5"/>
      <c r="U870" s="5"/>
      <c r="V870" s="46" t="s">
        <v>1585</v>
      </c>
      <c r="W870" s="1608">
        <f>SUM(W865:W869)</f>
        <v>220422</v>
      </c>
      <c r="X870" s="1609"/>
      <c r="Y870" s="1609"/>
      <c r="Z870" s="1609"/>
      <c r="AA870" s="1609"/>
      <c r="AB870" s="1609"/>
      <c r="AC870" s="1610"/>
      <c r="AD870" s="433"/>
      <c r="AU870" s="13"/>
      <c r="AZ870" s="3"/>
      <c r="BA870" s="3"/>
      <c r="BB870" s="3"/>
      <c r="BC870" s="3"/>
    </row>
    <row r="871" spans="3:55" ht="12.95" customHeight="1">
      <c r="AU871" s="13"/>
      <c r="AZ871" s="3"/>
      <c r="BA871" s="3"/>
      <c r="BB871" s="3"/>
      <c r="BC871" s="3"/>
    </row>
    <row r="872" spans="3:55" ht="12.95" customHeight="1">
      <c r="C872" s="2" t="s">
        <v>1586</v>
      </c>
      <c r="J872" s="37"/>
      <c r="K872" s="5"/>
      <c r="L872" s="5"/>
      <c r="M872" s="5"/>
      <c r="N872" s="5"/>
      <c r="O872" s="5"/>
      <c r="P872" s="5"/>
      <c r="Q872" s="5"/>
      <c r="R872" s="5"/>
      <c r="S872" s="5"/>
      <c r="T872" s="5"/>
      <c r="U872" s="5"/>
      <c r="V872" s="46" t="s">
        <v>1587</v>
      </c>
      <c r="W872" s="1537">
        <v>158533</v>
      </c>
      <c r="X872" s="1538"/>
      <c r="Y872" s="1538"/>
      <c r="Z872" s="1538"/>
      <c r="AA872" s="1538"/>
      <c r="AB872" s="1538"/>
      <c r="AC872" s="1539"/>
      <c r="AU872" s="13"/>
      <c r="AZ872" s="3"/>
      <c r="BA872" s="3"/>
      <c r="BB872" s="3"/>
      <c r="BC872" s="3"/>
    </row>
    <row r="873" spans="3:55" ht="12.95" customHeight="1">
      <c r="J873" s="412"/>
      <c r="AU873" s="13"/>
      <c r="AZ873" s="3"/>
      <c r="BA873" s="3"/>
      <c r="BB873" s="3"/>
      <c r="BC873" s="3"/>
    </row>
    <row r="874" spans="3:55" ht="12.95" customHeight="1">
      <c r="C874" s="2" t="s">
        <v>232</v>
      </c>
      <c r="J874" s="37" t="s">
        <v>1588</v>
      </c>
      <c r="K874" s="5"/>
      <c r="L874" s="5"/>
      <c r="M874" s="5"/>
      <c r="N874" s="5"/>
      <c r="O874" s="5"/>
      <c r="P874" s="5"/>
      <c r="Q874" s="5"/>
      <c r="R874" s="5"/>
      <c r="S874" s="5"/>
      <c r="T874" s="5"/>
      <c r="U874" s="5"/>
      <c r="V874" s="38"/>
      <c r="W874" s="1392"/>
      <c r="X874" s="1392"/>
      <c r="Y874" s="1392"/>
      <c r="Z874" s="1392"/>
      <c r="AA874" s="1392"/>
      <c r="AB874" s="1392"/>
      <c r="AC874" s="1392"/>
      <c r="AU874" s="13"/>
      <c r="AZ874" s="3"/>
      <c r="BA874" s="3"/>
      <c r="BB874" s="3"/>
      <c r="BC874" s="3"/>
    </row>
    <row r="875" spans="3:55" ht="12.95" customHeight="1">
      <c r="J875" s="37" t="s">
        <v>1589</v>
      </c>
      <c r="K875" s="5"/>
      <c r="L875" s="5"/>
      <c r="M875" s="5"/>
      <c r="N875" s="5"/>
      <c r="O875" s="5"/>
      <c r="P875" s="5"/>
      <c r="Q875" s="5"/>
      <c r="R875" s="5"/>
      <c r="S875" s="5"/>
      <c r="T875" s="5"/>
      <c r="U875" s="5"/>
      <c r="V875" s="38"/>
      <c r="W875" s="1392">
        <v>92107</v>
      </c>
      <c r="X875" s="1392"/>
      <c r="Y875" s="1392"/>
      <c r="Z875" s="1392"/>
      <c r="AA875" s="1392"/>
      <c r="AB875" s="1392"/>
      <c r="AC875" s="1392"/>
      <c r="AU875" s="3"/>
      <c r="AZ875" s="3"/>
      <c r="BA875" s="3"/>
      <c r="BB875" s="3"/>
      <c r="BC875" s="3"/>
    </row>
    <row r="876" spans="3:55" ht="12.95" customHeight="1">
      <c r="J876" s="37" t="s">
        <v>1590</v>
      </c>
      <c r="K876" s="5"/>
      <c r="L876" s="5"/>
      <c r="M876" s="5"/>
      <c r="N876" s="5"/>
      <c r="O876" s="5"/>
      <c r="P876" s="5"/>
      <c r="Q876" s="5"/>
      <c r="R876" s="5"/>
      <c r="S876" s="5"/>
      <c r="T876" s="5"/>
      <c r="U876" s="5"/>
      <c r="V876" s="38"/>
      <c r="W876" s="1392">
        <v>41986</v>
      </c>
      <c r="X876" s="1392"/>
      <c r="Y876" s="1392"/>
      <c r="Z876" s="1392"/>
      <c r="AA876" s="1392"/>
      <c r="AB876" s="1392"/>
      <c r="AC876" s="1392"/>
      <c r="AU876" s="3"/>
      <c r="AZ876" s="3"/>
      <c r="BA876" s="3"/>
      <c r="BB876" s="3"/>
      <c r="BC876" s="3"/>
    </row>
    <row r="877" spans="3:55" ht="12.95" customHeight="1">
      <c r="J877" s="37" t="s">
        <v>1591</v>
      </c>
      <c r="K877" s="5"/>
      <c r="L877" s="5"/>
      <c r="M877" s="5"/>
      <c r="N877" s="5"/>
      <c r="O877" s="5"/>
      <c r="P877" s="5"/>
      <c r="Q877" s="5"/>
      <c r="R877" s="5"/>
      <c r="S877" s="5"/>
      <c r="T877" s="5"/>
      <c r="U877" s="5"/>
      <c r="V877" s="38"/>
      <c r="W877" s="1392">
        <v>3183</v>
      </c>
      <c r="X877" s="1392"/>
      <c r="Y877" s="1392"/>
      <c r="Z877" s="1392"/>
      <c r="AA877" s="1392"/>
      <c r="AB877" s="1392"/>
      <c r="AC877" s="1392"/>
      <c r="AU877" s="3"/>
      <c r="AZ877" s="3"/>
      <c r="BA877" s="3"/>
      <c r="BB877" s="3"/>
      <c r="BC877" s="3"/>
    </row>
    <row r="878" spans="3:55" ht="12.95" customHeight="1">
      <c r="J878" s="37" t="s">
        <v>1592</v>
      </c>
      <c r="K878" s="5"/>
      <c r="L878" s="5"/>
      <c r="M878" s="5"/>
      <c r="N878" s="5"/>
      <c r="O878" s="5"/>
      <c r="P878" s="5"/>
      <c r="Q878" s="5"/>
      <c r="R878" s="5"/>
      <c r="S878" s="5"/>
      <c r="T878" s="5"/>
      <c r="U878" s="5"/>
      <c r="V878" s="38"/>
      <c r="W878" s="1392">
        <v>16858</v>
      </c>
      <c r="X878" s="1392"/>
      <c r="Y878" s="1392"/>
      <c r="Z878" s="1392"/>
      <c r="AA878" s="1392"/>
      <c r="AB878" s="1392"/>
      <c r="AC878" s="1392"/>
      <c r="AU878" s="3"/>
      <c r="AZ878" s="3"/>
      <c r="BA878" s="3"/>
      <c r="BB878" s="3"/>
      <c r="BC878" s="3"/>
    </row>
    <row r="879" spans="3:55" ht="12.95" customHeight="1">
      <c r="J879" s="37" t="s">
        <v>1593</v>
      </c>
      <c r="K879" s="5"/>
      <c r="L879" s="5"/>
      <c r="M879" s="5"/>
      <c r="N879" s="5"/>
      <c r="O879" s="5"/>
      <c r="P879" s="5"/>
      <c r="Q879" s="5"/>
      <c r="R879" s="5"/>
      <c r="S879" s="5"/>
      <c r="T879" s="5"/>
      <c r="U879" s="5"/>
      <c r="V879" s="38"/>
      <c r="W879" s="1392">
        <v>0</v>
      </c>
      <c r="X879" s="1392"/>
      <c r="Y879" s="1392"/>
      <c r="Z879" s="1392"/>
      <c r="AA879" s="1392"/>
      <c r="AB879" s="1392"/>
      <c r="AC879" s="1392"/>
      <c r="AU879" s="3"/>
      <c r="AZ879" s="3"/>
      <c r="BA879" s="3"/>
      <c r="BB879" s="3"/>
      <c r="BC879" s="3"/>
    </row>
    <row r="880" spans="3:55" ht="12.95" customHeight="1">
      <c r="J880" s="37" t="s">
        <v>233</v>
      </c>
      <c r="K880" s="5"/>
      <c r="L880" s="5"/>
      <c r="M880" s="1512" t="s">
        <v>1594</v>
      </c>
      <c r="N880" s="1513"/>
      <c r="O880" s="1513"/>
      <c r="P880" s="1513"/>
      <c r="Q880" s="1513"/>
      <c r="R880" s="1513"/>
      <c r="S880" s="1513"/>
      <c r="T880" s="1513"/>
      <c r="U880" s="1513"/>
      <c r="V880" s="1514"/>
      <c r="W880" s="1392">
        <v>15647</v>
      </c>
      <c r="X880" s="1392"/>
      <c r="Y880" s="1392"/>
      <c r="Z880" s="1392"/>
      <c r="AA880" s="1392"/>
      <c r="AB880" s="1392"/>
      <c r="AC880" s="1392"/>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1595</v>
      </c>
      <c r="W881" s="1559">
        <f>SUM(W874:W880)</f>
        <v>169781</v>
      </c>
      <c r="X881" s="1559"/>
      <c r="Y881" s="1559"/>
      <c r="Z881" s="1559"/>
      <c r="AA881" s="1559"/>
      <c r="AB881" s="1559"/>
      <c r="AC881" s="1559"/>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1596</v>
      </c>
      <c r="J883" s="37" t="s">
        <v>233</v>
      </c>
      <c r="K883" s="5"/>
      <c r="L883" s="5"/>
      <c r="M883" s="1512" t="s">
        <v>1597</v>
      </c>
      <c r="N883" s="1513"/>
      <c r="O883" s="1513"/>
      <c r="P883" s="1513"/>
      <c r="Q883" s="1513"/>
      <c r="R883" s="1513"/>
      <c r="S883" s="1513"/>
      <c r="T883" s="1513"/>
      <c r="U883" s="1513"/>
      <c r="V883" s="1514"/>
      <c r="W883" s="1346">
        <v>28164</v>
      </c>
      <c r="X883" s="1347"/>
      <c r="Y883" s="1347"/>
      <c r="Z883" s="1347"/>
      <c r="AA883" s="1347"/>
      <c r="AB883" s="1347"/>
      <c r="AC883" s="1348"/>
      <c r="AD883" s="433"/>
      <c r="AV883" s="13"/>
      <c r="AW883" s="13"/>
      <c r="AX883" s="13"/>
      <c r="AY883" s="13"/>
      <c r="AZ883" s="3"/>
      <c r="BA883" s="3"/>
      <c r="BB883" s="3"/>
      <c r="BC883" s="3"/>
    </row>
    <row r="884" spans="3:55" ht="12.95" customHeight="1">
      <c r="C884" s="2" t="s">
        <v>1598</v>
      </c>
      <c r="J884" s="37" t="s">
        <v>233</v>
      </c>
      <c r="K884" s="5"/>
      <c r="L884" s="5"/>
      <c r="M884" s="1512" t="s">
        <v>1599</v>
      </c>
      <c r="N884" s="1513"/>
      <c r="O884" s="1513"/>
      <c r="P884" s="1513"/>
      <c r="Q884" s="1513"/>
      <c r="R884" s="1513"/>
      <c r="S884" s="1513"/>
      <c r="T884" s="1513"/>
      <c r="U884" s="1513"/>
      <c r="V884" s="1514"/>
      <c r="W884" s="1346">
        <v>15570</v>
      </c>
      <c r="X884" s="1347"/>
      <c r="Y884" s="1347"/>
      <c r="Z884" s="1347"/>
      <c r="AA884" s="1347"/>
      <c r="AB884" s="1347"/>
      <c r="AC884" s="1348"/>
      <c r="AD884" s="433"/>
      <c r="AV884" s="13"/>
      <c r="AW884" s="13"/>
      <c r="AX884" s="13"/>
      <c r="AY884" s="13"/>
      <c r="AZ884" s="3"/>
      <c r="BA884" s="3"/>
      <c r="BB884" s="3"/>
      <c r="BC884" s="3"/>
    </row>
    <row r="885" spans="3:55" ht="12.95" customHeight="1">
      <c r="J885" s="37" t="s">
        <v>233</v>
      </c>
      <c r="K885" s="5"/>
      <c r="L885" s="5"/>
      <c r="M885" s="1512" t="s">
        <v>1600</v>
      </c>
      <c r="N885" s="1513"/>
      <c r="O885" s="1513"/>
      <c r="P885" s="1513"/>
      <c r="Q885" s="1513"/>
      <c r="R885" s="1513"/>
      <c r="S885" s="1513"/>
      <c r="T885" s="1513"/>
      <c r="U885" s="1513"/>
      <c r="V885" s="1514"/>
      <c r="W885" s="1346">
        <v>915</v>
      </c>
      <c r="X885" s="1347"/>
      <c r="Y885" s="1347"/>
      <c r="Z885" s="1347"/>
      <c r="AA885" s="1347"/>
      <c r="AB885" s="1347"/>
      <c r="AC885" s="1348"/>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12"/>
      <c r="N886" s="1513"/>
      <c r="O886" s="1513"/>
      <c r="P886" s="1513"/>
      <c r="Q886" s="1513"/>
      <c r="R886" s="1513"/>
      <c r="S886" s="1513"/>
      <c r="T886" s="1513"/>
      <c r="U886" s="1513"/>
      <c r="V886" s="1514"/>
      <c r="W886" s="1346"/>
      <c r="X886" s="1347"/>
      <c r="Y886" s="1347"/>
      <c r="Z886" s="1347"/>
      <c r="AA886" s="1347"/>
      <c r="AB886" s="1347"/>
      <c r="AC886" s="1348"/>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12" t="s">
        <v>1282</v>
      </c>
      <c r="N887" s="1513"/>
      <c r="O887" s="1513"/>
      <c r="P887" s="1513"/>
      <c r="Q887" s="1513"/>
      <c r="R887" s="1513"/>
      <c r="S887" s="1513"/>
      <c r="T887" s="1513"/>
      <c r="U887" s="1513"/>
      <c r="V887" s="1514"/>
      <c r="W887" s="1346"/>
      <c r="X887" s="1347"/>
      <c r="Y887" s="1347"/>
      <c r="Z887" s="1347"/>
      <c r="AA887" s="1347"/>
      <c r="AB887" s="1347"/>
      <c r="AC887" s="1348"/>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1601</v>
      </c>
      <c r="W888" s="1410">
        <f>SUM(W883:W887)</f>
        <v>44649</v>
      </c>
      <c r="X888" s="1411"/>
      <c r="Y888" s="1411"/>
      <c r="Z888" s="1411"/>
      <c r="AA888" s="1411"/>
      <c r="AB888" s="1411"/>
      <c r="AC888" s="141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1602</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1603</v>
      </c>
      <c r="AC892" s="1411">
        <f>W855+W863+W870+W872+W881+W888+W857</f>
        <v>821391</v>
      </c>
      <c r="AD892" s="1411"/>
      <c r="AE892" s="1411"/>
      <c r="AF892" s="1411"/>
      <c r="AG892" s="1411"/>
      <c r="AH892" s="141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1604</v>
      </c>
      <c r="AC893" s="1615">
        <f>O805+O785+G761</f>
        <v>100</v>
      </c>
      <c r="AD893" s="1615"/>
      <c r="AE893" s="1615"/>
      <c r="AF893" s="1615"/>
      <c r="AG893" s="1615"/>
      <c r="AH893" s="1616"/>
      <c r="AL893" s="3"/>
      <c r="AM893" s="3"/>
      <c r="AN893" s="3"/>
      <c r="AO893" s="3"/>
      <c r="AP893" s="3"/>
      <c r="AQ893" s="3"/>
      <c r="AR893" s="3"/>
      <c r="AS893" s="3"/>
      <c r="AT893" s="3"/>
      <c r="AZ893" s="3"/>
      <c r="BA893" s="3"/>
      <c r="BB893" s="3"/>
      <c r="BC893" s="3"/>
    </row>
    <row r="894" spans="3:55" ht="12.95" customHeight="1">
      <c r="C894" s="33"/>
      <c r="D894" s="34"/>
      <c r="E894" s="1612" t="s">
        <v>1605</v>
      </c>
      <c r="F894" s="1612"/>
      <c r="G894" s="1612"/>
      <c r="H894" s="1612"/>
      <c r="I894" s="1612"/>
      <c r="J894" s="1612"/>
      <c r="K894" s="1612"/>
      <c r="L894" s="1612"/>
      <c r="M894" s="1612"/>
      <c r="N894" s="1612"/>
      <c r="O894" s="1612"/>
      <c r="P894" s="1612"/>
      <c r="Q894" s="1612"/>
      <c r="R894" s="1612"/>
      <c r="S894" s="1612"/>
      <c r="T894" s="1612"/>
      <c r="U894" s="1612"/>
      <c r="V894" s="1612"/>
      <c r="W894" s="1612"/>
      <c r="X894" s="1612"/>
      <c r="Y894" s="1612"/>
      <c r="Z894" s="1612"/>
      <c r="AA894" s="1612"/>
      <c r="AB894" s="1613"/>
      <c r="AC894" s="1559">
        <f>IF(ISERROR((ROUNDDOWN(AC892/AC893,0))),0,(ROUNDDOWN(AC892/AC893,0)))</f>
        <v>8213</v>
      </c>
      <c r="AD894" s="1559"/>
      <c r="AE894" s="1559"/>
      <c r="AF894" s="1559"/>
      <c r="AG894" s="1559"/>
      <c r="AH894" s="1559"/>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1606</v>
      </c>
      <c r="AC895" s="1617"/>
      <c r="AD895" s="1618"/>
      <c r="AE895" s="1618"/>
      <c r="AF895" s="1618"/>
      <c r="AG895" s="1618"/>
      <c r="AH895" s="1618"/>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1607</v>
      </c>
      <c r="AC896" s="1348">
        <v>0</v>
      </c>
      <c r="AD896" s="1392"/>
      <c r="AE896" s="1392"/>
      <c r="AF896" s="1392"/>
      <c r="AG896" s="1392"/>
      <c r="AH896" s="1392"/>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1608</v>
      </c>
      <c r="AC897" s="1347">
        <v>59920</v>
      </c>
      <c r="AD897" s="1347"/>
      <c r="AE897" s="1347"/>
      <c r="AF897" s="1347"/>
      <c r="AG897" s="1347"/>
      <c r="AH897" s="1348"/>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1609</v>
      </c>
      <c r="AC898" s="1347">
        <v>50000</v>
      </c>
      <c r="AD898" s="1347"/>
      <c r="AE898" s="1347"/>
      <c r="AF898" s="1347"/>
      <c r="AG898" s="1347"/>
      <c r="AH898" s="1348"/>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1610</v>
      </c>
      <c r="AC899" s="1435">
        <f>'[2]4%main spreadsheet'!$O$41</f>
        <v>6210</v>
      </c>
      <c r="AD899" s="1436"/>
      <c r="AE899" s="1436"/>
      <c r="AF899" s="1436"/>
      <c r="AG899" s="1436"/>
      <c r="AH899" s="1437"/>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1611</v>
      </c>
      <c r="AC900" s="1347">
        <v>5725</v>
      </c>
      <c r="AD900" s="1347"/>
      <c r="AE900" s="1347"/>
      <c r="AF900" s="1347"/>
      <c r="AG900" s="1347"/>
      <c r="AH900" s="1348"/>
      <c r="AZ900" s="3"/>
      <c r="BA900" s="3"/>
      <c r="BB900" s="3"/>
      <c r="BC900" s="3"/>
    </row>
    <row r="901" spans="1:58" ht="12.95" hidden="1" customHeight="1">
      <c r="C901" s="1423" t="s">
        <v>1612</v>
      </c>
      <c r="D901" s="1424"/>
      <c r="E901" s="1424"/>
      <c r="F901" s="1424"/>
      <c r="G901" s="1424"/>
      <c r="H901" s="1424"/>
      <c r="I901" s="1424"/>
      <c r="J901" s="1424"/>
      <c r="K901" s="1424"/>
      <c r="L901" s="1424"/>
      <c r="M901" s="1424"/>
      <c r="N901" s="1424"/>
      <c r="O901" s="1424"/>
      <c r="P901" s="1424"/>
      <c r="Q901" s="1424"/>
      <c r="R901" s="1424"/>
      <c r="S901" s="1424"/>
      <c r="T901" s="1424"/>
      <c r="U901" s="1424"/>
      <c r="V901" s="1424"/>
      <c r="W901" s="1424"/>
      <c r="X901" s="1424"/>
      <c r="Y901" s="1424"/>
      <c r="Z901" s="1424"/>
      <c r="AA901" s="1424"/>
      <c r="AB901" s="1425"/>
      <c r="AC901" s="1347"/>
      <c r="AD901" s="1347"/>
      <c r="AE901" s="1347"/>
      <c r="AF901" s="1347"/>
      <c r="AG901" s="1347"/>
      <c r="AH901" s="1348"/>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1613</v>
      </c>
      <c r="AC902" s="1347"/>
      <c r="AD902" s="1347"/>
      <c r="AE902" s="1347"/>
      <c r="AF902" s="1347"/>
      <c r="AG902" s="1347"/>
      <c r="AH902" s="1348"/>
      <c r="AZ902" s="3"/>
      <c r="BA902" s="3"/>
      <c r="BB902" s="3"/>
      <c r="BC902" s="3"/>
    </row>
    <row r="903" spans="1:58" ht="12.95" customHeight="1">
      <c r="C903" s="1540" t="s">
        <v>1614</v>
      </c>
      <c r="D903" s="1541"/>
      <c r="E903" s="1541"/>
      <c r="F903" s="1541"/>
      <c r="G903" s="1541"/>
      <c r="H903" s="1541"/>
      <c r="I903" s="1541"/>
      <c r="J903" s="1541"/>
      <c r="K903" s="1541"/>
      <c r="L903" s="1541"/>
      <c r="M903" s="1541"/>
      <c r="N903" s="1541"/>
      <c r="O903" s="1541"/>
      <c r="P903" s="1541"/>
      <c r="Q903" s="1541"/>
      <c r="R903" s="1541"/>
      <c r="S903" s="1541"/>
      <c r="T903" s="1541"/>
      <c r="U903" s="1541"/>
      <c r="V903" s="1541"/>
      <c r="W903" s="1541"/>
      <c r="X903" s="1541"/>
      <c r="Y903" s="1541"/>
      <c r="Z903" s="1541"/>
      <c r="AA903" s="1541"/>
      <c r="AB903" s="1542"/>
      <c r="AC903" s="1392">
        <v>77416</v>
      </c>
      <c r="AD903" s="1392"/>
      <c r="AE903" s="1392"/>
      <c r="AF903" s="1392"/>
      <c r="AG903" s="1392"/>
      <c r="AH903" s="1392"/>
      <c r="AZ903" s="3"/>
      <c r="BA903" s="3"/>
      <c r="BB903" s="3"/>
      <c r="BC903" s="3"/>
    </row>
    <row r="904" spans="1:58" ht="12.95" customHeight="1">
      <c r="C904" s="1540" t="s">
        <v>1615</v>
      </c>
      <c r="D904" s="1541"/>
      <c r="E904" s="1541"/>
      <c r="F904" s="1541"/>
      <c r="G904" s="1541"/>
      <c r="H904" s="1541"/>
      <c r="I904" s="1541"/>
      <c r="J904" s="1541"/>
      <c r="K904" s="1541"/>
      <c r="L904" s="1541"/>
      <c r="M904" s="1541"/>
      <c r="N904" s="1541"/>
      <c r="O904" s="1541"/>
      <c r="P904" s="1541"/>
      <c r="Q904" s="1541"/>
      <c r="R904" s="1541"/>
      <c r="S904" s="1541"/>
      <c r="T904" s="1541"/>
      <c r="U904" s="1541"/>
      <c r="V904" s="1541"/>
      <c r="W904" s="1541"/>
      <c r="X904" s="1541"/>
      <c r="Y904" s="1541"/>
      <c r="Z904" s="1541"/>
      <c r="AA904" s="1541"/>
      <c r="AB904" s="1542"/>
      <c r="AC904" s="1392"/>
      <c r="AD904" s="1392"/>
      <c r="AE904" s="1392"/>
      <c r="AF904" s="1392"/>
      <c r="AG904" s="1392"/>
      <c r="AH904" s="1392"/>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1319</v>
      </c>
      <c r="C906" s="2" t="s">
        <v>1616</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1617</v>
      </c>
      <c r="I908" s="5"/>
      <c r="J908" s="5"/>
      <c r="K908" s="5"/>
      <c r="L908" s="5"/>
      <c r="M908" s="5"/>
      <c r="N908" s="5"/>
      <c r="O908" s="5"/>
      <c r="P908" s="5"/>
      <c r="Q908" s="5"/>
      <c r="R908" s="5"/>
      <c r="S908" s="5"/>
      <c r="T908" s="5"/>
      <c r="U908" s="5"/>
      <c r="V908" s="5"/>
      <c r="W908" s="5"/>
      <c r="X908" s="5"/>
      <c r="Y908" s="38"/>
      <c r="Z908" s="1346"/>
      <c r="AA908" s="1347"/>
      <c r="AB908" s="1347"/>
      <c r="AC908" s="1347"/>
      <c r="AD908" s="1347"/>
      <c r="AE908" s="1348"/>
      <c r="AF908" s="433"/>
      <c r="AZ908" s="3"/>
      <c r="BB908" s="25"/>
      <c r="BC908" s="712"/>
      <c r="BD908" s="1555"/>
      <c r="BE908" s="1555"/>
      <c r="BF908" s="13"/>
    </row>
    <row r="909" spans="1:58" ht="12.95" customHeight="1">
      <c r="H909" s="87" t="s">
        <v>1618</v>
      </c>
      <c r="I909" s="5"/>
      <c r="J909" s="5"/>
      <c r="K909" s="5"/>
      <c r="L909" s="5"/>
      <c r="M909" s="5"/>
      <c r="N909" s="5"/>
      <c r="O909" s="5"/>
      <c r="P909" s="5"/>
      <c r="Q909" s="5"/>
      <c r="R909" s="5"/>
      <c r="S909" s="5"/>
      <c r="T909" s="5"/>
      <c r="U909" s="5"/>
      <c r="V909" s="5"/>
      <c r="W909" s="5"/>
      <c r="X909" s="5"/>
      <c r="Y909" s="5"/>
      <c r="Z909" s="1346"/>
      <c r="AA909" s="1347"/>
      <c r="AB909" s="1347"/>
      <c r="AC909" s="1347"/>
      <c r="AD909" s="1347"/>
      <c r="AE909" s="1348"/>
      <c r="AZ909" s="3"/>
      <c r="BB909" s="25"/>
      <c r="BC909" s="712"/>
      <c r="BD909" s="1555"/>
      <c r="BE909" s="1555"/>
      <c r="BF909" s="13"/>
    </row>
    <row r="910" spans="1:58" ht="12.95" customHeight="1">
      <c r="H910" s="87" t="s">
        <v>1619</v>
      </c>
      <c r="I910" s="5"/>
      <c r="J910" s="5"/>
      <c r="K910" s="5"/>
      <c r="L910" s="5"/>
      <c r="M910" s="5"/>
      <c r="N910" s="5"/>
      <c r="O910" s="5"/>
      <c r="P910" s="5"/>
      <c r="Q910" s="5"/>
      <c r="R910" s="5"/>
      <c r="S910" s="5"/>
      <c r="T910" s="5"/>
      <c r="U910" s="5"/>
      <c r="V910" s="5"/>
      <c r="W910" s="5"/>
      <c r="X910" s="5"/>
      <c r="Y910" s="5"/>
      <c r="Z910" s="1346"/>
      <c r="AA910" s="1347"/>
      <c r="AB910" s="1347"/>
      <c r="AC910" s="1347"/>
      <c r="AD910" s="1347"/>
      <c r="AE910" s="1348"/>
      <c r="AZ910" s="3"/>
      <c r="BB910" s="25"/>
      <c r="BC910" s="712"/>
      <c r="BD910" s="1230"/>
      <c r="BE910" s="1230"/>
      <c r="BF910" s="13"/>
    </row>
    <row r="911" spans="1:58" ht="12.95" customHeight="1">
      <c r="H911" s="37"/>
      <c r="I911" s="5"/>
      <c r="J911" s="5"/>
      <c r="K911" s="5"/>
      <c r="L911" s="5"/>
      <c r="M911" s="5"/>
      <c r="N911" s="5"/>
      <c r="O911" s="5"/>
      <c r="P911" s="5"/>
      <c r="Q911" s="5"/>
      <c r="R911" s="5"/>
      <c r="S911" s="5"/>
      <c r="T911" s="5"/>
      <c r="U911" s="5"/>
      <c r="V911" s="5"/>
      <c r="W911" s="5"/>
      <c r="X911" s="5"/>
      <c r="Y911" s="125" t="s">
        <v>1620</v>
      </c>
      <c r="Z911" s="1410">
        <f>Z908-(Z909+Z910)</f>
        <v>0</v>
      </c>
      <c r="AA911" s="1411"/>
      <c r="AB911" s="1411"/>
      <c r="AC911" s="1411"/>
      <c r="AD911" s="1411"/>
      <c r="AE911" s="1412"/>
      <c r="AZ911" s="3"/>
      <c r="BB911" s="25"/>
      <c r="BC911" s="712"/>
      <c r="BD911" s="1230"/>
      <c r="BE911" s="1230"/>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0"/>
      <c r="BE912" s="1230"/>
      <c r="BF912" s="13"/>
    </row>
    <row r="913" spans="1:58" ht="12.95" customHeight="1">
      <c r="C913" t="s">
        <v>1621</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55"/>
      <c r="BE913" s="1230"/>
      <c r="BF913" s="13"/>
    </row>
    <row r="914" spans="1:58" ht="12.95" customHeight="1">
      <c r="C914" s="126" t="s">
        <v>1622</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11"/>
      <c r="BE914" s="1611"/>
      <c r="BF914" s="1611"/>
    </row>
    <row r="915" spans="1:58" ht="12.95" customHeight="1">
      <c r="C915" s="126" t="s">
        <v>1623</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68"/>
      <c r="BE915" s="1568"/>
      <c r="BF915" s="1568"/>
    </row>
    <row r="916" spans="1:58" ht="12.95" customHeight="1">
      <c r="C916" s="243" t="s">
        <v>1624</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0"/>
      <c r="BE916" s="1230"/>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55"/>
      <c r="BE917" s="1230"/>
      <c r="BF917" s="13"/>
    </row>
    <row r="918" spans="1:58" ht="12.95" customHeight="1">
      <c r="AZ918" s="3"/>
      <c r="BB918" s="25"/>
      <c r="BC918" s="712"/>
    </row>
    <row r="919" spans="1:58" ht="12.95" customHeight="1">
      <c r="A919" s="1419" t="s">
        <v>1625</v>
      </c>
      <c r="B919" s="1419"/>
      <c r="C919" s="1419"/>
      <c r="D919" s="1419"/>
      <c r="E919" s="1419"/>
      <c r="F919" s="1419"/>
      <c r="G919" s="1419"/>
      <c r="H919" s="1419"/>
      <c r="I919" s="1419"/>
      <c r="J919" s="1419"/>
      <c r="K919" s="1419"/>
      <c r="L919" s="1419"/>
      <c r="M919" s="1419"/>
      <c r="N919" s="1419"/>
      <c r="O919" s="1419"/>
      <c r="P919" s="1419"/>
      <c r="Q919" s="1419"/>
      <c r="R919" s="1419"/>
      <c r="S919" s="1419"/>
      <c r="T919" s="1419"/>
      <c r="U919" s="1419"/>
      <c r="V919" s="1419"/>
      <c r="W919" s="1419"/>
      <c r="X919" s="1419"/>
      <c r="Y919" s="1419"/>
      <c r="Z919" s="1419"/>
      <c r="AA919" s="1419"/>
      <c r="AB919" s="1419"/>
      <c r="AC919" s="1419"/>
      <c r="AD919" s="1419"/>
      <c r="AE919" s="1419"/>
      <c r="AF919" s="1419"/>
      <c r="AG919" s="1419"/>
      <c r="AH919" s="1419"/>
      <c r="AI919" s="1419"/>
      <c r="AJ919" s="1419"/>
      <c r="AK919" s="1419"/>
      <c r="AL919" s="1419"/>
      <c r="AM919" s="1419"/>
      <c r="AN919" s="1419"/>
      <c r="AO919" s="1419"/>
      <c r="AP919" s="1419"/>
      <c r="AQ919" s="1419"/>
      <c r="AR919" s="1419"/>
      <c r="AS919" s="1419"/>
      <c r="AT919" s="1419"/>
      <c r="AZ919" s="3"/>
      <c r="BA919" s="3"/>
      <c r="BB919" s="25"/>
      <c r="BC919" s="25"/>
      <c r="BD919" s="1555"/>
      <c r="BE919" s="1230"/>
      <c r="BF919" s="803"/>
    </row>
    <row r="920" spans="1:58" ht="12.95" customHeight="1">
      <c r="A920" s="1419"/>
      <c r="B920" s="1419"/>
      <c r="C920" s="1419"/>
      <c r="D920" s="1419"/>
      <c r="E920" s="1419"/>
      <c r="F920" s="1419"/>
      <c r="G920" s="1419"/>
      <c r="H920" s="1419"/>
      <c r="I920" s="1419"/>
      <c r="J920" s="1419"/>
      <c r="K920" s="1419"/>
      <c r="L920" s="1419"/>
      <c r="M920" s="1419"/>
      <c r="N920" s="1419"/>
      <c r="O920" s="1419"/>
      <c r="P920" s="1419"/>
      <c r="Q920" s="1419"/>
      <c r="R920" s="1419"/>
      <c r="S920" s="1419"/>
      <c r="T920" s="1419"/>
      <c r="U920" s="1419"/>
      <c r="V920" s="1419"/>
      <c r="W920" s="1419"/>
      <c r="X920" s="1419"/>
      <c r="Y920" s="1419"/>
      <c r="Z920" s="1419"/>
      <c r="AA920" s="1419"/>
      <c r="AB920" s="1419"/>
      <c r="AC920" s="1419"/>
      <c r="AD920" s="1419"/>
      <c r="AE920" s="1419"/>
      <c r="AF920" s="1419"/>
      <c r="AG920" s="1419"/>
      <c r="AH920" s="1419"/>
      <c r="AI920" s="1419"/>
      <c r="AJ920" s="1419"/>
      <c r="AK920" s="1419"/>
      <c r="AL920" s="1419"/>
      <c r="AM920" s="1419"/>
      <c r="AN920" s="1419"/>
      <c r="AO920" s="1419"/>
      <c r="AP920" s="1419"/>
      <c r="AQ920" s="1419"/>
      <c r="AR920" s="1419"/>
      <c r="AS920" s="1419"/>
      <c r="AT920" s="1419"/>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887</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60" t="s">
        <v>1626</v>
      </c>
      <c r="G924" s="1561"/>
      <c r="H924" s="1561"/>
      <c r="I924" s="1561"/>
      <c r="J924" s="1561"/>
      <c r="K924" s="1561"/>
      <c r="L924" s="1561"/>
      <c r="M924" s="1561"/>
      <c r="N924" s="1561"/>
      <c r="O924" s="1561"/>
      <c r="P924" s="1561"/>
      <c r="Q924" s="1561"/>
      <c r="R924" s="1561"/>
      <c r="S924" s="1561"/>
      <c r="T924" s="1562"/>
      <c r="U924" s="1486" t="s">
        <v>1627</v>
      </c>
      <c r="V924" s="1487"/>
      <c r="W924" s="1487"/>
      <c r="X924" s="1487"/>
      <c r="Y924" s="1487"/>
      <c r="Z924" s="1487"/>
      <c r="AA924" s="35"/>
      <c r="AB924" s="216"/>
      <c r="AC924" s="216"/>
      <c r="AD924" s="216"/>
      <c r="AE924" s="216"/>
      <c r="AF924" s="1180"/>
      <c r="AZ924" s="3"/>
      <c r="BA924" s="3"/>
      <c r="BB924" s="3"/>
      <c r="BC924" s="3"/>
    </row>
    <row r="925" spans="1:58" ht="12.95" customHeight="1">
      <c r="B925" s="2"/>
      <c r="F925" s="1488" t="s">
        <v>1628</v>
      </c>
      <c r="G925" s="1489"/>
      <c r="H925" s="1489"/>
      <c r="I925" s="1489"/>
      <c r="J925" s="1489"/>
      <c r="K925" s="1489"/>
      <c r="L925" s="1489"/>
      <c r="M925" s="1489"/>
      <c r="N925" s="1489"/>
      <c r="O925" s="1489"/>
      <c r="P925" s="1489"/>
      <c r="Q925" s="1489"/>
      <c r="R925" s="1489"/>
      <c r="S925" s="1489"/>
      <c r="T925" s="1528"/>
      <c r="U925" s="1488"/>
      <c r="V925" s="1489"/>
      <c r="W925" s="1489"/>
      <c r="X925" s="1489"/>
      <c r="Y925" s="1489"/>
      <c r="Z925" s="1489"/>
      <c r="AA925" s="36"/>
      <c r="AB925" s="3"/>
      <c r="AC925" s="3"/>
      <c r="AD925" s="3"/>
      <c r="AE925" s="3"/>
      <c r="AF925" s="1181"/>
      <c r="AZ925" s="3"/>
      <c r="BA925" s="3"/>
      <c r="BB925" s="3"/>
      <c r="BC925" s="3"/>
    </row>
    <row r="926" spans="1:58" ht="12.95" customHeight="1">
      <c r="B926" s="2"/>
      <c r="F926" s="1490"/>
      <c r="G926" s="1491"/>
      <c r="H926" s="1491"/>
      <c r="I926" s="1491"/>
      <c r="J926" s="1491"/>
      <c r="K926" s="1491"/>
      <c r="L926" s="1491"/>
      <c r="M926" s="1491"/>
      <c r="N926" s="1491"/>
      <c r="O926" s="1491"/>
      <c r="P926" s="1491"/>
      <c r="Q926" s="1491"/>
      <c r="R926" s="1491"/>
      <c r="S926" s="1491"/>
      <c r="T926" s="1529"/>
      <c r="U926" s="1490"/>
      <c r="V926" s="1491"/>
      <c r="W926" s="1491"/>
      <c r="X926" s="1491"/>
      <c r="Y926" s="1491"/>
      <c r="Z926" s="1491"/>
      <c r="AA926" s="789"/>
      <c r="AB926" s="1553" t="s">
        <v>1629</v>
      </c>
      <c r="AC926" s="1553"/>
      <c r="AD926" s="1553"/>
      <c r="AE926" s="1553"/>
      <c r="AF926" s="1182"/>
      <c r="AZ926" s="3"/>
      <c r="BA926" s="3"/>
      <c r="BB926" s="3"/>
      <c r="BC926" s="3"/>
    </row>
    <row r="927" spans="1:58" ht="12.95" customHeight="1">
      <c r="B927" s="2"/>
      <c r="F927" s="37" t="s">
        <v>1630</v>
      </c>
      <c r="G927" s="40"/>
      <c r="H927" s="40"/>
      <c r="I927" s="40"/>
      <c r="J927" s="40"/>
      <c r="K927" s="40"/>
      <c r="L927" s="40"/>
      <c r="M927" s="40"/>
      <c r="N927" s="40"/>
      <c r="O927" s="40"/>
      <c r="P927" s="40"/>
      <c r="Q927" s="40"/>
      <c r="R927" s="40"/>
      <c r="S927" s="40"/>
      <c r="T927" s="41"/>
      <c r="U927" s="1267" t="s">
        <v>862</v>
      </c>
      <c r="V927" s="1268"/>
      <c r="W927" s="1268"/>
      <c r="X927" s="1268"/>
      <c r="Y927" s="1268"/>
      <c r="Z927" s="1269"/>
      <c r="AA927" s="1313">
        <f>AM562</f>
        <v>21332341.365621213</v>
      </c>
      <c r="AB927" s="1314"/>
      <c r="AC927" s="1314"/>
      <c r="AD927" s="1314"/>
      <c r="AE927" s="1314"/>
      <c r="AF927" s="1315"/>
      <c r="AG927" s="1080" t="str">
        <f>IF(NOT(AA927=AW927),"!","")</f>
        <v/>
      </c>
      <c r="AH927" s="3"/>
      <c r="AW927" s="1232">
        <f>SUMIF($M$562:$M$573,"Loan, Tax-Exempt",$AM$562:$AM$573)</f>
        <v>21332341.365621213</v>
      </c>
      <c r="AX927" s="1232"/>
      <c r="AY927" s="1232"/>
      <c r="AZ927" s="3" t="s">
        <v>1631</v>
      </c>
      <c r="BA927" s="3"/>
      <c r="BB927" s="3"/>
      <c r="BC927" s="3"/>
    </row>
    <row r="928" spans="1:58" ht="12.95" customHeight="1">
      <c r="B928" s="2"/>
      <c r="F928" s="87" t="s">
        <v>1632</v>
      </c>
      <c r="G928" s="40"/>
      <c r="H928" s="40"/>
      <c r="I928" s="40"/>
      <c r="J928" s="40"/>
      <c r="K928" s="40"/>
      <c r="L928" s="40"/>
      <c r="M928" s="40"/>
      <c r="N928" s="40"/>
      <c r="O928" s="40"/>
      <c r="P928" s="40"/>
      <c r="Q928" s="40"/>
      <c r="R928" s="40"/>
      <c r="S928" s="40"/>
      <c r="T928" s="41"/>
      <c r="U928" s="1267" t="s">
        <v>862</v>
      </c>
      <c r="V928" s="1268"/>
      <c r="W928" s="1268"/>
      <c r="X928" s="1268"/>
      <c r="Y928" s="1268"/>
      <c r="Z928" s="1269"/>
      <c r="AA928" s="1313">
        <f>AM563</f>
        <v>42529416.415510535</v>
      </c>
      <c r="AB928" s="1314"/>
      <c r="AC928" s="1314"/>
      <c r="AD928" s="1314"/>
      <c r="AE928" s="1314"/>
      <c r="AF928" s="1315"/>
      <c r="AZ928" s="3"/>
      <c r="BA928" s="3"/>
      <c r="BB928" s="3"/>
      <c r="BC928" s="3"/>
    </row>
    <row r="929" spans="6:55" ht="12.95" customHeight="1">
      <c r="F929" s="37" t="s">
        <v>1633</v>
      </c>
      <c r="G929" s="5"/>
      <c r="H929" s="5"/>
      <c r="I929" s="5"/>
      <c r="J929" s="5"/>
      <c r="K929" s="5"/>
      <c r="L929" s="5"/>
      <c r="M929" s="5"/>
      <c r="N929" s="5"/>
      <c r="O929" s="5"/>
      <c r="P929" s="5"/>
      <c r="Q929" s="5"/>
      <c r="R929" s="5"/>
      <c r="S929" s="5"/>
      <c r="T929" s="38"/>
      <c r="U929" s="1267" t="s">
        <v>826</v>
      </c>
      <c r="V929" s="1268"/>
      <c r="W929" s="1268"/>
      <c r="X929" s="1268"/>
      <c r="Y929" s="1268"/>
      <c r="Z929" s="1269"/>
      <c r="AA929" s="1313"/>
      <c r="AB929" s="1314"/>
      <c r="AC929" s="1314"/>
      <c r="AD929" s="1314"/>
      <c r="AE929" s="1314"/>
      <c r="AF929" s="1315"/>
      <c r="AZ929" s="3"/>
      <c r="BA929" s="3"/>
      <c r="BB929" s="3"/>
      <c r="BC929" s="3"/>
    </row>
    <row r="930" spans="6:55" ht="12.95" customHeight="1">
      <c r="F930" s="37" t="s">
        <v>1634</v>
      </c>
      <c r="G930" s="5"/>
      <c r="H930" s="5"/>
      <c r="I930" s="5"/>
      <c r="J930" s="5"/>
      <c r="K930" s="5"/>
      <c r="L930" s="5"/>
      <c r="M930" s="5"/>
      <c r="N930" s="5"/>
      <c r="O930" s="5"/>
      <c r="P930" s="5"/>
      <c r="Q930" s="5"/>
      <c r="R930" s="5"/>
      <c r="S930" s="5"/>
      <c r="T930" s="38"/>
      <c r="U930" s="1267" t="s">
        <v>826</v>
      </c>
      <c r="V930" s="1268"/>
      <c r="W930" s="1268"/>
      <c r="X930" s="1268"/>
      <c r="Y930" s="1268"/>
      <c r="Z930" s="1269"/>
      <c r="AA930" s="1313"/>
      <c r="AB930" s="1314"/>
      <c r="AC930" s="1314"/>
      <c r="AD930" s="1314"/>
      <c r="AE930" s="1314"/>
      <c r="AF930" s="1315"/>
      <c r="AZ930" s="3"/>
      <c r="BA930" s="3"/>
      <c r="BB930" s="3"/>
      <c r="BC930" s="3"/>
    </row>
    <row r="931" spans="6:55" ht="12.95" customHeight="1">
      <c r="F931" s="87" t="s">
        <v>1635</v>
      </c>
      <c r="G931" s="5"/>
      <c r="H931" s="5"/>
      <c r="I931" s="5"/>
      <c r="J931" s="5"/>
      <c r="K931" s="5"/>
      <c r="L931" s="5"/>
      <c r="M931" s="5"/>
      <c r="N931" s="5"/>
      <c r="O931" s="5"/>
      <c r="P931" s="5"/>
      <c r="Q931" s="5"/>
      <c r="R931" s="5"/>
      <c r="S931" s="5"/>
      <c r="T931" s="38"/>
      <c r="U931" s="1267" t="s">
        <v>826</v>
      </c>
      <c r="V931" s="1268"/>
      <c r="W931" s="1268"/>
      <c r="X931" s="1268"/>
      <c r="Y931" s="1268"/>
      <c r="Z931" s="1269"/>
      <c r="AA931" s="1313"/>
      <c r="AB931" s="1314"/>
      <c r="AC931" s="1314"/>
      <c r="AD931" s="1314"/>
      <c r="AE931" s="1314"/>
      <c r="AF931" s="1315"/>
      <c r="AZ931" s="3"/>
      <c r="BA931" s="3"/>
      <c r="BB931" s="3"/>
      <c r="BC931" s="3"/>
    </row>
    <row r="932" spans="6:55" ht="12.95" customHeight="1">
      <c r="F932" s="87" t="s">
        <v>1636</v>
      </c>
      <c r="G932" s="5"/>
      <c r="H932" s="5"/>
      <c r="I932" s="5"/>
      <c r="J932" s="5"/>
      <c r="K932" s="5"/>
      <c r="L932" s="5"/>
      <c r="M932" s="5"/>
      <c r="N932" s="5"/>
      <c r="O932" s="5"/>
      <c r="P932" s="5"/>
      <c r="Q932" s="5"/>
      <c r="R932" s="5"/>
      <c r="S932" s="5"/>
      <c r="T932" s="38"/>
      <c r="U932" s="1267" t="s">
        <v>826</v>
      </c>
      <c r="V932" s="1268"/>
      <c r="W932" s="1268"/>
      <c r="X932" s="1268"/>
      <c r="Y932" s="1268"/>
      <c r="Z932" s="1269"/>
      <c r="AA932" s="1313"/>
      <c r="AB932" s="1314"/>
      <c r="AC932" s="1314"/>
      <c r="AD932" s="1314"/>
      <c r="AE932" s="1314"/>
      <c r="AF932" s="1315"/>
      <c r="AZ932" s="3"/>
      <c r="BA932" s="3"/>
      <c r="BB932" s="3"/>
      <c r="BC932" s="3"/>
    </row>
    <row r="933" spans="6:55" ht="12.95" customHeight="1">
      <c r="F933" s="87" t="s">
        <v>1637</v>
      </c>
      <c r="G933" s="5"/>
      <c r="H933" s="5"/>
      <c r="I933" s="5"/>
      <c r="J933" s="5"/>
      <c r="K933" s="5"/>
      <c r="L933" s="5"/>
      <c r="M933" s="5"/>
      <c r="N933" s="5"/>
      <c r="O933" s="5"/>
      <c r="P933" s="5"/>
      <c r="Q933" s="5"/>
      <c r="R933" s="5"/>
      <c r="S933" s="5"/>
      <c r="T933" s="38"/>
      <c r="U933" s="1267" t="s">
        <v>826</v>
      </c>
      <c r="V933" s="1268"/>
      <c r="W933" s="1268"/>
      <c r="X933" s="1268"/>
      <c r="Y933" s="1268"/>
      <c r="Z933" s="1269"/>
      <c r="AA933" s="1313"/>
      <c r="AB933" s="1314"/>
      <c r="AC933" s="1314"/>
      <c r="AD933" s="1314"/>
      <c r="AE933" s="1314"/>
      <c r="AF933" s="1315"/>
      <c r="AZ933" s="3"/>
      <c r="BA933" s="3"/>
      <c r="BB933" s="3"/>
      <c r="BC933" s="3"/>
    </row>
    <row r="934" spans="6:55" ht="12.95" customHeight="1">
      <c r="F934" s="37" t="s">
        <v>1638</v>
      </c>
      <c r="G934" s="5"/>
      <c r="H934" s="5"/>
      <c r="I934" s="5"/>
      <c r="J934" s="5"/>
      <c r="K934" s="5"/>
      <c r="L934" s="5"/>
      <c r="M934" s="5"/>
      <c r="N934" s="5"/>
      <c r="O934" s="5"/>
      <c r="P934" s="5"/>
      <c r="Q934" s="5"/>
      <c r="R934" s="5"/>
      <c r="S934" s="5"/>
      <c r="T934" s="38"/>
      <c r="U934" s="1267" t="s">
        <v>826</v>
      </c>
      <c r="V934" s="1268"/>
      <c r="W934" s="1268"/>
      <c r="X934" s="1268"/>
      <c r="Y934" s="1268"/>
      <c r="Z934" s="1269"/>
      <c r="AA934" s="1313"/>
      <c r="AB934" s="1314"/>
      <c r="AC934" s="1314"/>
      <c r="AD934" s="1314"/>
      <c r="AE934" s="1314"/>
      <c r="AF934" s="1315"/>
      <c r="AZ934" s="3"/>
      <c r="BA934" s="3"/>
      <c r="BB934" s="3"/>
      <c r="BC934" s="3"/>
    </row>
    <row r="935" spans="6:55" ht="12.95" customHeight="1">
      <c r="F935" s="1530" t="s">
        <v>1639</v>
      </c>
      <c r="G935" s="1531"/>
      <c r="H935" s="1531"/>
      <c r="I935" s="1531"/>
      <c r="J935" s="1531"/>
      <c r="K935" s="1531"/>
      <c r="L935" s="1531"/>
      <c r="M935" s="1531"/>
      <c r="N935" s="1531"/>
      <c r="O935" s="1531"/>
      <c r="P935" s="1531"/>
      <c r="Q935" s="1531"/>
      <c r="R935" s="1531"/>
      <c r="S935" s="1531"/>
      <c r="T935" s="1532"/>
      <c r="U935" s="1267" t="s">
        <v>826</v>
      </c>
      <c r="V935" s="1268"/>
      <c r="W935" s="1268"/>
      <c r="X935" s="1268"/>
      <c r="Y935" s="1268"/>
      <c r="Z935" s="1269"/>
      <c r="AA935" s="1313"/>
      <c r="AB935" s="1314"/>
      <c r="AC935" s="1314"/>
      <c r="AD935" s="1314"/>
      <c r="AE935" s="1314"/>
      <c r="AF935" s="1315"/>
      <c r="AZ935" s="3"/>
      <c r="BA935" s="3"/>
      <c r="BB935" s="3"/>
      <c r="BC935" s="3"/>
    </row>
    <row r="936" spans="6:55" ht="12.95" customHeight="1">
      <c r="F936" s="1530" t="s">
        <v>1640</v>
      </c>
      <c r="G936" s="1531"/>
      <c r="H936" s="1531"/>
      <c r="I936" s="1531"/>
      <c r="J936" s="1531"/>
      <c r="K936" s="1531"/>
      <c r="L936" s="1531"/>
      <c r="M936" s="1531"/>
      <c r="N936" s="1531"/>
      <c r="O936" s="1531"/>
      <c r="P936" s="1531"/>
      <c r="Q936" s="1531"/>
      <c r="R936" s="1531"/>
      <c r="S936" s="1531"/>
      <c r="T936" s="1532"/>
      <c r="U936" s="1267" t="s">
        <v>826</v>
      </c>
      <c r="V936" s="1268"/>
      <c r="W936" s="1268"/>
      <c r="X936" s="1268"/>
      <c r="Y936" s="1268"/>
      <c r="Z936" s="1269"/>
      <c r="AA936" s="1313"/>
      <c r="AB936" s="1314"/>
      <c r="AC936" s="1314"/>
      <c r="AD936" s="1314"/>
      <c r="AE936" s="1314"/>
      <c r="AF936" s="1315"/>
      <c r="AU936" s="2"/>
      <c r="AZ936" s="3"/>
      <c r="BA936" s="3"/>
      <c r="BB936" s="3"/>
      <c r="BC936" s="3"/>
    </row>
    <row r="937" spans="6:55" ht="12.95" customHeight="1">
      <c r="F937" s="1530" t="s">
        <v>1641</v>
      </c>
      <c r="G937" s="1531"/>
      <c r="H937" s="1531"/>
      <c r="I937" s="1531"/>
      <c r="J937" s="1531"/>
      <c r="K937" s="1531"/>
      <c r="L937" s="1531"/>
      <c r="M937" s="1531"/>
      <c r="N937" s="1531"/>
      <c r="O937" s="1531"/>
      <c r="P937" s="1531"/>
      <c r="Q937" s="1531"/>
      <c r="R937" s="1531"/>
      <c r="S937" s="1531"/>
      <c r="T937" s="1532"/>
      <c r="U937" s="1267" t="s">
        <v>826</v>
      </c>
      <c r="V937" s="1268"/>
      <c r="W937" s="1268"/>
      <c r="X937" s="1268"/>
      <c r="Y937" s="1268"/>
      <c r="Z937" s="1269"/>
      <c r="AA937" s="1313"/>
      <c r="AB937" s="1314"/>
      <c r="AC937" s="1314"/>
      <c r="AD937" s="1314"/>
      <c r="AE937" s="1314"/>
      <c r="AF937" s="1315"/>
      <c r="AU937" s="2"/>
      <c r="AZ937" s="3"/>
      <c r="BA937" s="3"/>
      <c r="BB937" s="3"/>
      <c r="BC937" s="3"/>
    </row>
    <row r="938" spans="6:55" ht="12.95" customHeight="1">
      <c r="F938" s="1530" t="s">
        <v>1642</v>
      </c>
      <c r="G938" s="1531"/>
      <c r="H938" s="1531"/>
      <c r="I938" s="1531"/>
      <c r="J938" s="1531"/>
      <c r="K938" s="1531"/>
      <c r="L938" s="1531"/>
      <c r="M938" s="1531"/>
      <c r="N938" s="1531"/>
      <c r="O938" s="1531"/>
      <c r="P938" s="1531"/>
      <c r="Q938" s="1531"/>
      <c r="R938" s="1531"/>
      <c r="S938" s="1531"/>
      <c r="T938" s="1532"/>
      <c r="U938" s="1267" t="s">
        <v>826</v>
      </c>
      <c r="V938" s="1268"/>
      <c r="W938" s="1268"/>
      <c r="X938" s="1268"/>
      <c r="Y938" s="1268"/>
      <c r="Z938" s="1269"/>
      <c r="AA938" s="1313"/>
      <c r="AB938" s="1314"/>
      <c r="AC938" s="1314"/>
      <c r="AD938" s="1314"/>
      <c r="AE938" s="1314"/>
      <c r="AF938" s="1315"/>
      <c r="AU938" s="2"/>
      <c r="AZ938" s="3"/>
      <c r="BA938" s="3"/>
      <c r="BB938" s="3"/>
      <c r="BC938" s="3"/>
    </row>
    <row r="939" spans="6:55" ht="12.95" customHeight="1">
      <c r="F939" s="1530" t="s">
        <v>1643</v>
      </c>
      <c r="G939" s="1531"/>
      <c r="H939" s="1531"/>
      <c r="I939" s="1531"/>
      <c r="J939" s="1531"/>
      <c r="K939" s="1531"/>
      <c r="L939" s="1531"/>
      <c r="M939" s="1531"/>
      <c r="N939" s="1531"/>
      <c r="O939" s="1531"/>
      <c r="P939" s="1531"/>
      <c r="Q939" s="1531"/>
      <c r="R939" s="1531"/>
      <c r="S939" s="1531"/>
      <c r="T939" s="1532"/>
      <c r="U939" s="1267" t="s">
        <v>826</v>
      </c>
      <c r="V939" s="1268"/>
      <c r="W939" s="1268"/>
      <c r="X939" s="1268"/>
      <c r="Y939" s="1268"/>
      <c r="Z939" s="1269"/>
      <c r="AA939" s="1313"/>
      <c r="AB939" s="1314"/>
      <c r="AC939" s="1314"/>
      <c r="AD939" s="1314"/>
      <c r="AE939" s="1314"/>
      <c r="AF939" s="1315"/>
      <c r="AU939" s="2"/>
      <c r="AZ939" s="3"/>
      <c r="BA939" s="3"/>
      <c r="BB939" s="3"/>
      <c r="BC939" s="3"/>
    </row>
    <row r="940" spans="6:55" ht="12.95" customHeight="1">
      <c r="F940" s="1530" t="s">
        <v>1644</v>
      </c>
      <c r="G940" s="1531"/>
      <c r="H940" s="1531"/>
      <c r="I940" s="1531"/>
      <c r="J940" s="1531"/>
      <c r="K940" s="1531"/>
      <c r="L940" s="1531"/>
      <c r="M940" s="1531"/>
      <c r="N940" s="1531"/>
      <c r="O940" s="1531"/>
      <c r="P940" s="1531"/>
      <c r="Q940" s="1531"/>
      <c r="R940" s="1531"/>
      <c r="S940" s="1531"/>
      <c r="T940" s="1532"/>
      <c r="U940" s="1267" t="s">
        <v>826</v>
      </c>
      <c r="V940" s="1268"/>
      <c r="W940" s="1268"/>
      <c r="X940" s="1268"/>
      <c r="Y940" s="1268"/>
      <c r="Z940" s="1269"/>
      <c r="AA940" s="1313"/>
      <c r="AB940" s="1314"/>
      <c r="AC940" s="1314"/>
      <c r="AD940" s="1314"/>
      <c r="AE940" s="1314"/>
      <c r="AF940" s="1315"/>
      <c r="AU940" s="2"/>
      <c r="AZ940" s="3"/>
      <c r="BA940" s="3"/>
      <c r="BB940" s="3"/>
      <c r="BC940" s="3"/>
    </row>
    <row r="941" spans="6:55" ht="12.95" customHeight="1">
      <c r="F941" s="1530" t="s">
        <v>1645</v>
      </c>
      <c r="G941" s="1531"/>
      <c r="H941" s="1531"/>
      <c r="I941" s="1531"/>
      <c r="J941" s="1531"/>
      <c r="K941" s="1531"/>
      <c r="L941" s="1531"/>
      <c r="M941" s="1531"/>
      <c r="N941" s="1531"/>
      <c r="O941" s="1531"/>
      <c r="P941" s="1531"/>
      <c r="Q941" s="1531"/>
      <c r="R941" s="1531"/>
      <c r="S941" s="1531"/>
      <c r="T941" s="1532"/>
      <c r="U941" s="1267" t="s">
        <v>826</v>
      </c>
      <c r="V941" s="1268"/>
      <c r="W941" s="1268"/>
      <c r="X941" s="1268"/>
      <c r="Y941" s="1268"/>
      <c r="Z941" s="1269"/>
      <c r="AA941" s="1313"/>
      <c r="AB941" s="1314"/>
      <c r="AC941" s="1314"/>
      <c r="AD941" s="1314"/>
      <c r="AE941" s="1314"/>
      <c r="AF941" s="1315"/>
      <c r="AZ941" s="25"/>
      <c r="BA941" s="25"/>
    </row>
    <row r="942" spans="6:55" ht="12.95" customHeight="1">
      <c r="F942" s="123" t="s">
        <v>1646</v>
      </c>
      <c r="G942" s="5"/>
      <c r="H942" s="5"/>
      <c r="I942" s="5"/>
      <c r="J942" s="5"/>
      <c r="K942" s="5"/>
      <c r="L942" s="5"/>
      <c r="M942" s="5"/>
      <c r="N942" s="5"/>
      <c r="O942" s="5"/>
      <c r="P942" s="5"/>
      <c r="Q942" s="5"/>
      <c r="R942" s="5"/>
      <c r="S942" s="5"/>
      <c r="T942" s="38"/>
      <c r="U942" s="1267" t="s">
        <v>826</v>
      </c>
      <c r="V942" s="1268"/>
      <c r="W942" s="1268"/>
      <c r="X942" s="1268"/>
      <c r="Y942" s="1268"/>
      <c r="Z942" s="1269"/>
      <c r="AA942" s="1313"/>
      <c r="AB942" s="1314"/>
      <c r="AC942" s="1314"/>
      <c r="AD942" s="1314"/>
      <c r="AE942" s="1314"/>
      <c r="AF942" s="1315"/>
    </row>
    <row r="943" spans="6:55" ht="12.95" customHeight="1">
      <c r="F943" s="87" t="s">
        <v>1647</v>
      </c>
      <c r="G943" s="5"/>
      <c r="H943" s="5"/>
      <c r="I943" s="5"/>
      <c r="J943" s="5"/>
      <c r="K943" s="5"/>
      <c r="L943" s="5"/>
      <c r="M943" s="5"/>
      <c r="N943" s="5"/>
      <c r="O943" s="5"/>
      <c r="P943" s="5"/>
      <c r="Q943" s="5"/>
      <c r="R943" s="5"/>
      <c r="S943" s="5"/>
      <c r="T943" s="38"/>
      <c r="U943" s="1267" t="s">
        <v>826</v>
      </c>
      <c r="V943" s="1268"/>
      <c r="W943" s="1268"/>
      <c r="X943" s="1268"/>
      <c r="Y943" s="1268"/>
      <c r="Z943" s="1269"/>
      <c r="AA943" s="1313"/>
      <c r="AB943" s="1314"/>
      <c r="AC943" s="1314"/>
      <c r="AD943" s="1314"/>
      <c r="AE943" s="1314"/>
      <c r="AF943" s="1315"/>
      <c r="AZ943" s="25"/>
      <c r="BA943" s="13"/>
    </row>
    <row r="944" spans="6:55" ht="12.95" customHeight="1">
      <c r="F944" s="87" t="s">
        <v>1648</v>
      </c>
      <c r="G944" s="5"/>
      <c r="H944" s="5"/>
      <c r="I944" s="5"/>
      <c r="J944" s="5"/>
      <c r="K944" s="5"/>
      <c r="L944" s="5"/>
      <c r="M944" s="5"/>
      <c r="N944" s="5"/>
      <c r="O944" s="5"/>
      <c r="P944" s="5"/>
      <c r="Q944" s="5"/>
      <c r="R944" s="5"/>
      <c r="S944" s="5"/>
      <c r="T944" s="38"/>
      <c r="U944" s="1267" t="s">
        <v>826</v>
      </c>
      <c r="V944" s="1268"/>
      <c r="W944" s="1268"/>
      <c r="X944" s="1268"/>
      <c r="Y944" s="1268"/>
      <c r="Z944" s="1269"/>
      <c r="AA944" s="1313"/>
      <c r="AB944" s="1314"/>
      <c r="AC944" s="1314"/>
      <c r="AD944" s="1314"/>
      <c r="AE944" s="1314"/>
      <c r="AF944" s="1315"/>
      <c r="AZ944" s="25"/>
      <c r="BA944" s="13"/>
    </row>
    <row r="945" spans="6:55" ht="12.95" customHeight="1">
      <c r="F945" s="1543" t="s">
        <v>1649</v>
      </c>
      <c r="G945" s="1544"/>
      <c r="H945" s="1544"/>
      <c r="I945" s="1544"/>
      <c r="J945" s="1544"/>
      <c r="K945" s="1544"/>
      <c r="L945" s="1544"/>
      <c r="M945" s="1544"/>
      <c r="N945" s="1544"/>
      <c r="O945" s="1544"/>
      <c r="P945" s="1544"/>
      <c r="Q945" s="1544"/>
      <c r="R945" s="1544"/>
      <c r="S945" s="1544"/>
      <c r="T945" s="1545"/>
      <c r="U945" s="1267" t="s">
        <v>826</v>
      </c>
      <c r="V945" s="1268"/>
      <c r="W945" s="1268"/>
      <c r="X945" s="1268"/>
      <c r="Y945" s="1268"/>
      <c r="Z945" s="1269"/>
      <c r="AA945" s="1313"/>
      <c r="AB945" s="1314"/>
      <c r="AC945" s="1314"/>
      <c r="AD945" s="1314"/>
      <c r="AE945" s="1314"/>
      <c r="AF945" s="1315"/>
      <c r="AZ945" s="25"/>
      <c r="BA945" s="13"/>
    </row>
    <row r="946" spans="6:55" ht="12.95" customHeight="1">
      <c r="F946" s="1543" t="s">
        <v>1650</v>
      </c>
      <c r="G946" s="1544"/>
      <c r="H946" s="1544"/>
      <c r="I946" s="1544"/>
      <c r="J946" s="1544"/>
      <c r="K946" s="1544"/>
      <c r="L946" s="1544"/>
      <c r="M946" s="1544"/>
      <c r="N946" s="1544"/>
      <c r="O946" s="1544"/>
      <c r="P946" s="1544"/>
      <c r="Q946" s="1544"/>
      <c r="R946" s="1544"/>
      <c r="S946" s="1544"/>
      <c r="T946" s="1545"/>
      <c r="U946" s="1267" t="s">
        <v>826</v>
      </c>
      <c r="V946" s="1268"/>
      <c r="W946" s="1268"/>
      <c r="X946" s="1268"/>
      <c r="Y946" s="1268"/>
      <c r="Z946" s="1269"/>
      <c r="AA946" s="1313"/>
      <c r="AB946" s="1314"/>
      <c r="AC946" s="1314"/>
      <c r="AD946" s="1314"/>
      <c r="AE946" s="1314"/>
      <c r="AF946" s="1315"/>
      <c r="AZ946" s="25"/>
      <c r="BA946" s="25"/>
    </row>
    <row r="947" spans="6:55" ht="12.95" customHeight="1">
      <c r="F947" s="1530" t="s">
        <v>1651</v>
      </c>
      <c r="G947" s="1531"/>
      <c r="H947" s="1531"/>
      <c r="I947" s="1531"/>
      <c r="J947" s="1531"/>
      <c r="K947" s="1531"/>
      <c r="L947" s="1531"/>
      <c r="M947" s="1531"/>
      <c r="N947" s="1531"/>
      <c r="O947" s="1531"/>
      <c r="P947" s="1531"/>
      <c r="Q947" s="1531"/>
      <c r="R947" s="1531"/>
      <c r="S947" s="1531"/>
      <c r="T947" s="1532"/>
      <c r="U947" s="1267" t="s">
        <v>826</v>
      </c>
      <c r="V947" s="1268"/>
      <c r="W947" s="1268"/>
      <c r="X947" s="1268"/>
      <c r="Y947" s="1268"/>
      <c r="Z947" s="1269"/>
      <c r="AA947" s="1313"/>
      <c r="AB947" s="1314"/>
      <c r="AC947" s="1314"/>
      <c r="AD947" s="1314"/>
      <c r="AE947" s="1314"/>
      <c r="AF947" s="1315"/>
      <c r="AZ947" s="25"/>
      <c r="BA947" s="25"/>
    </row>
    <row r="948" spans="6:55" ht="12.95" customHeight="1">
      <c r="F948" s="1530" t="s">
        <v>1652</v>
      </c>
      <c r="G948" s="1531"/>
      <c r="H948" s="1531"/>
      <c r="I948" s="1531"/>
      <c r="J948" s="1531"/>
      <c r="K948" s="1531"/>
      <c r="L948" s="1531"/>
      <c r="M948" s="1531"/>
      <c r="N948" s="1531"/>
      <c r="O948" s="1531"/>
      <c r="P948" s="1531"/>
      <c r="Q948" s="1531"/>
      <c r="R948" s="1531"/>
      <c r="S948" s="1531"/>
      <c r="T948" s="1532"/>
      <c r="U948" s="1267" t="s">
        <v>826</v>
      </c>
      <c r="V948" s="1268"/>
      <c r="W948" s="1268"/>
      <c r="X948" s="1268"/>
      <c r="Y948" s="1268"/>
      <c r="Z948" s="1269"/>
      <c r="AA948" s="1313"/>
      <c r="AB948" s="1314"/>
      <c r="AC948" s="1314"/>
      <c r="AD948" s="1314"/>
      <c r="AE948" s="1314"/>
      <c r="AF948" s="1315"/>
      <c r="AZ948" s="25"/>
      <c r="BA948" s="25"/>
    </row>
    <row r="949" spans="6:55" ht="12.95" customHeight="1">
      <c r="F949" s="1530" t="s">
        <v>1462</v>
      </c>
      <c r="G949" s="1531"/>
      <c r="H949" s="1531"/>
      <c r="I949" s="1531"/>
      <c r="J949" s="1531"/>
      <c r="K949" s="1531"/>
      <c r="L949" s="1531"/>
      <c r="M949" s="1531"/>
      <c r="N949" s="1531"/>
      <c r="O949" s="1531"/>
      <c r="P949" s="1531"/>
      <c r="Q949" s="1531"/>
      <c r="R949" s="1531"/>
      <c r="S949" s="1531"/>
      <c r="T949" s="1532"/>
      <c r="U949" s="1267" t="s">
        <v>862</v>
      </c>
      <c r="V949" s="1268"/>
      <c r="W949" s="1268"/>
      <c r="X949" s="1268"/>
      <c r="Y949" s="1268"/>
      <c r="Z949" s="1269"/>
      <c r="AA949" s="1313">
        <f>AO637</f>
        <v>9181020</v>
      </c>
      <c r="AB949" s="1314"/>
      <c r="AC949" s="1314"/>
      <c r="AD949" s="1314"/>
      <c r="AE949" s="1314"/>
      <c r="AF949" s="1315"/>
      <c r="AZ949" s="3"/>
      <c r="BA949" s="3"/>
      <c r="BB949" s="13"/>
      <c r="BC949" s="13"/>
    </row>
    <row r="950" spans="6:55" ht="12.95" customHeight="1">
      <c r="F950" s="87" t="s">
        <v>1653</v>
      </c>
      <c r="G950" s="5"/>
      <c r="H950" s="5"/>
      <c r="I950" s="5"/>
      <c r="J950" s="5"/>
      <c r="K950" s="5"/>
      <c r="L950" s="5"/>
      <c r="M950" s="5"/>
      <c r="N950" s="5"/>
      <c r="O950" s="5"/>
      <c r="P950" s="5"/>
      <c r="Q950" s="5"/>
      <c r="R950" s="5"/>
      <c r="S950" s="5"/>
      <c r="T950" s="38"/>
      <c r="U950" s="1267" t="s">
        <v>826</v>
      </c>
      <c r="V950" s="1268"/>
      <c r="W950" s="1268"/>
      <c r="X950" s="1268"/>
      <c r="Y950" s="1268"/>
      <c r="Z950" s="1269"/>
      <c r="AA950" s="1313"/>
      <c r="AB950" s="1314"/>
      <c r="AC950" s="1314"/>
      <c r="AD950" s="1314"/>
      <c r="AE950" s="1314"/>
      <c r="AF950" s="1315"/>
      <c r="AZ950" s="3"/>
      <c r="BA950" s="3"/>
      <c r="BB950" s="13"/>
      <c r="BC950" s="13"/>
    </row>
    <row r="951" spans="6:55" ht="12.95" customHeight="1">
      <c r="F951" s="1543" t="s">
        <v>1654</v>
      </c>
      <c r="G951" s="1544"/>
      <c r="H951" s="1544"/>
      <c r="I951" s="1544"/>
      <c r="J951" s="1544"/>
      <c r="K951" s="1544"/>
      <c r="L951" s="1544"/>
      <c r="M951" s="1544"/>
      <c r="N951" s="1544"/>
      <c r="O951" s="1544"/>
      <c r="P951" s="1544"/>
      <c r="Q951" s="1544"/>
      <c r="R951" s="1544"/>
      <c r="S951" s="1544"/>
      <c r="T951" s="1545"/>
      <c r="U951" s="1267" t="s">
        <v>826</v>
      </c>
      <c r="V951" s="1268"/>
      <c r="W951" s="1268"/>
      <c r="X951" s="1268"/>
      <c r="Y951" s="1268"/>
      <c r="Z951" s="1269"/>
      <c r="AA951" s="1313"/>
      <c r="AB951" s="1314"/>
      <c r="AC951" s="1314"/>
      <c r="AD951" s="1314"/>
      <c r="AE951" s="1314"/>
      <c r="AF951" s="1315"/>
      <c r="AZ951" s="3"/>
      <c r="BA951" s="3"/>
      <c r="BB951" s="3"/>
      <c r="BC951" s="3"/>
    </row>
    <row r="952" spans="6:55" ht="12.95" customHeight="1">
      <c r="F952" s="87" t="s">
        <v>1655</v>
      </c>
      <c r="G952" s="5"/>
      <c r="H952" s="5"/>
      <c r="I952" s="5"/>
      <c r="J952" s="5"/>
      <c r="K952" s="5"/>
      <c r="L952" s="5"/>
      <c r="M952" s="5"/>
      <c r="N952" s="5"/>
      <c r="O952" s="5"/>
      <c r="P952" s="5"/>
      <c r="Q952" s="5"/>
      <c r="R952" s="5"/>
      <c r="S952" s="5"/>
      <c r="T952" s="38"/>
      <c r="U952" s="1267" t="s">
        <v>826</v>
      </c>
      <c r="V952" s="1268"/>
      <c r="W952" s="1268"/>
      <c r="X952" s="1268"/>
      <c r="Y952" s="1268"/>
      <c r="Z952" s="1269"/>
      <c r="AA952" s="1313"/>
      <c r="AB952" s="1314"/>
      <c r="AC952" s="1314"/>
      <c r="AD952" s="1314"/>
      <c r="AE952" s="1314"/>
      <c r="AF952" s="1315"/>
      <c r="AZ952" s="3"/>
      <c r="BA952" s="3"/>
      <c r="BB952" s="3"/>
      <c r="BC952" s="3"/>
    </row>
    <row r="953" spans="6:55" ht="12.95" customHeight="1">
      <c r="F953" s="1543" t="s">
        <v>1656</v>
      </c>
      <c r="G953" s="1544"/>
      <c r="H953" s="1544"/>
      <c r="I953" s="1544"/>
      <c r="J953" s="1544"/>
      <c r="K953" s="1544"/>
      <c r="L953" s="1544"/>
      <c r="M953" s="1544"/>
      <c r="N953" s="1544"/>
      <c r="O953" s="1544"/>
      <c r="P953" s="1544"/>
      <c r="Q953" s="1544"/>
      <c r="R953" s="1544"/>
      <c r="S953" s="1544"/>
      <c r="T953" s="1545"/>
      <c r="U953" s="1267" t="s">
        <v>826</v>
      </c>
      <c r="V953" s="1268"/>
      <c r="W953" s="1268"/>
      <c r="X953" s="1268"/>
      <c r="Y953" s="1268"/>
      <c r="Z953" s="1269"/>
      <c r="AA953" s="1313"/>
      <c r="AB953" s="1314"/>
      <c r="AC953" s="1314"/>
      <c r="AD953" s="1314"/>
      <c r="AE953" s="1314"/>
      <c r="AF953" s="1315"/>
      <c r="AZ953" s="3"/>
      <c r="BA953" s="3"/>
      <c r="BB953" s="3"/>
      <c r="BC953" s="3"/>
    </row>
    <row r="954" spans="6:55" ht="12.95" customHeight="1">
      <c r="F954" s="37" t="s">
        <v>1657</v>
      </c>
      <c r="G954" s="5"/>
      <c r="H954" s="5"/>
      <c r="I954" s="5"/>
      <c r="J954" s="5"/>
      <c r="K954" s="5"/>
      <c r="L954" s="5"/>
      <c r="M954" s="5"/>
      <c r="N954" s="5"/>
      <c r="O954" s="5"/>
      <c r="P954" s="1267" t="s">
        <v>701</v>
      </c>
      <c r="Q954" s="1268"/>
      <c r="R954" s="1268"/>
      <c r="S954" s="1268"/>
      <c r="T954" s="1269"/>
      <c r="U954" s="1267" t="s">
        <v>826</v>
      </c>
      <c r="V954" s="1268"/>
      <c r="W954" s="1268"/>
      <c r="X954" s="1268"/>
      <c r="Y954" s="1268"/>
      <c r="Z954" s="1269"/>
      <c r="AA954" s="1313"/>
      <c r="AB954" s="1314"/>
      <c r="AC954" s="1314"/>
      <c r="AD954" s="1314"/>
      <c r="AE954" s="1314"/>
      <c r="AF954" s="1315"/>
      <c r="AZ954" s="3"/>
      <c r="BA954" s="3"/>
      <c r="BB954" s="3"/>
      <c r="BC954" s="3"/>
    </row>
    <row r="955" spans="6:55" ht="12.95" customHeight="1">
      <c r="F955" s="1530" t="s">
        <v>1658</v>
      </c>
      <c r="G955" s="1531"/>
      <c r="H955" s="1532"/>
      <c r="I955" s="1512" t="s">
        <v>1282</v>
      </c>
      <c r="J955" s="1513"/>
      <c r="K955" s="1513"/>
      <c r="L955" s="1513"/>
      <c r="M955" s="1513"/>
      <c r="N955" s="1513"/>
      <c r="O955" s="1513"/>
      <c r="P955" s="1513"/>
      <c r="Q955" s="1513"/>
      <c r="R955" s="1513"/>
      <c r="S955" s="1513"/>
      <c r="T955" s="1514"/>
      <c r="U955" s="1267" t="s">
        <v>826</v>
      </c>
      <c r="V955" s="1268"/>
      <c r="W955" s="1268"/>
      <c r="X955" s="1268"/>
      <c r="Y955" s="1268"/>
      <c r="Z955" s="1269"/>
      <c r="AA955" s="1313"/>
      <c r="AB955" s="1314"/>
      <c r="AC955" s="1314"/>
      <c r="AD955" s="1314"/>
      <c r="AE955" s="1314"/>
      <c r="AF955" s="1315"/>
      <c r="AZ955" s="3"/>
      <c r="BA955" s="3"/>
      <c r="BB955" s="3"/>
      <c r="BC955" s="3"/>
    </row>
    <row r="956" spans="6:55" ht="12.95" customHeight="1">
      <c r="F956" s="37" t="s">
        <v>1085</v>
      </c>
      <c r="G956" s="40"/>
      <c r="H956" s="40"/>
      <c r="I956" s="1512" t="s">
        <v>1659</v>
      </c>
      <c r="J956" s="1513"/>
      <c r="K956" s="1513"/>
      <c r="L956" s="1513"/>
      <c r="M956" s="1513"/>
      <c r="N956" s="1513"/>
      <c r="O956" s="1513"/>
      <c r="P956" s="1513"/>
      <c r="Q956" s="1513"/>
      <c r="R956" s="1513"/>
      <c r="S956" s="1513"/>
      <c r="T956" s="1514"/>
      <c r="U956" s="1267" t="s">
        <v>862</v>
      </c>
      <c r="V956" s="1268"/>
      <c r="W956" s="1268"/>
      <c r="X956" s="1268"/>
      <c r="Y956" s="1268"/>
      <c r="Z956" s="1269"/>
      <c r="AA956" s="1313">
        <f>AO636</f>
        <v>9832515</v>
      </c>
      <c r="AB956" s="1314"/>
      <c r="AC956" s="1314"/>
      <c r="AD956" s="1314"/>
      <c r="AE956" s="1314"/>
      <c r="AF956" s="1315"/>
      <c r="AZ956" s="3"/>
      <c r="BA956" s="3"/>
      <c r="BB956" s="3"/>
      <c r="BC956" s="3"/>
    </row>
    <row r="957" spans="6:55" ht="12.95" customHeight="1">
      <c r="F957" s="37" t="s">
        <v>1660</v>
      </c>
      <c r="G957" s="40"/>
      <c r="H957" s="40"/>
      <c r="I957" s="1512" t="s">
        <v>1282</v>
      </c>
      <c r="J957" s="1513"/>
      <c r="K957" s="1513"/>
      <c r="L957" s="1513"/>
      <c r="M957" s="1513"/>
      <c r="N957" s="1513"/>
      <c r="O957" s="1513"/>
      <c r="P957" s="1513"/>
      <c r="Q957" s="1513"/>
      <c r="R957" s="1513"/>
      <c r="S957" s="1513"/>
      <c r="T957" s="1514"/>
      <c r="U957" s="1267" t="s">
        <v>826</v>
      </c>
      <c r="V957" s="1268"/>
      <c r="W957" s="1268"/>
      <c r="X957" s="1268"/>
      <c r="Y957" s="1268"/>
      <c r="Z957" s="1269"/>
      <c r="AA957" s="1313"/>
      <c r="AB957" s="1314"/>
      <c r="AC957" s="1314"/>
      <c r="AD957" s="1314"/>
      <c r="AE957" s="1314"/>
      <c r="AF957" s="1315"/>
      <c r="AV957" s="2"/>
      <c r="AW957" s="2"/>
      <c r="AX957" s="2"/>
      <c r="AY957" s="2"/>
      <c r="AZ957" s="3"/>
      <c r="BA957" s="3"/>
      <c r="BB957" s="3"/>
      <c r="BC957" s="3"/>
    </row>
    <row r="958" spans="6:55" ht="12.95" customHeight="1">
      <c r="F958" s="39" t="s">
        <v>233</v>
      </c>
      <c r="G958" s="40"/>
      <c r="H958" s="40"/>
      <c r="I958" s="1512" t="s">
        <v>1282</v>
      </c>
      <c r="J958" s="1513"/>
      <c r="K958" s="1513"/>
      <c r="L958" s="1513"/>
      <c r="M958" s="1513"/>
      <c r="N958" s="1513"/>
      <c r="O958" s="1513"/>
      <c r="P958" s="1513"/>
      <c r="Q958" s="1513"/>
      <c r="R958" s="1513"/>
      <c r="S958" s="1513"/>
      <c r="T958" s="1514"/>
      <c r="U958" s="1267" t="s">
        <v>826</v>
      </c>
      <c r="V958" s="1268"/>
      <c r="W958" s="1268"/>
      <c r="X958" s="1268"/>
      <c r="Y958" s="1268"/>
      <c r="Z958" s="1269"/>
      <c r="AA958" s="1313"/>
      <c r="AB958" s="1314"/>
      <c r="AC958" s="1314"/>
      <c r="AD958" s="1314"/>
      <c r="AE958" s="1314"/>
      <c r="AF958" s="1315"/>
      <c r="AU958" s="2"/>
      <c r="AZ958" s="3"/>
      <c r="BA958" s="3"/>
      <c r="BB958" s="3"/>
      <c r="BC958" s="3"/>
    </row>
    <row r="959" spans="6:55" ht="12.95" customHeight="1">
      <c r="F959" s="39" t="s">
        <v>233</v>
      </c>
      <c r="G959" s="40"/>
      <c r="H959" s="40"/>
      <c r="I959" s="1512" t="s">
        <v>1282</v>
      </c>
      <c r="J959" s="1513"/>
      <c r="K959" s="1513"/>
      <c r="L959" s="1513"/>
      <c r="M959" s="1513"/>
      <c r="N959" s="1513"/>
      <c r="O959" s="1513"/>
      <c r="P959" s="1513"/>
      <c r="Q959" s="1513"/>
      <c r="R959" s="1513"/>
      <c r="S959" s="1513"/>
      <c r="T959" s="1514"/>
      <c r="U959" s="1267" t="s">
        <v>826</v>
      </c>
      <c r="V959" s="1268"/>
      <c r="W959" s="1268"/>
      <c r="X959" s="1268"/>
      <c r="Y959" s="1268"/>
      <c r="Z959" s="1269"/>
      <c r="AA959" s="1313"/>
      <c r="AB959" s="1314"/>
      <c r="AC959" s="1314"/>
      <c r="AD959" s="1314"/>
      <c r="AE959" s="1314"/>
      <c r="AF959" s="1315"/>
      <c r="AU959" s="2"/>
      <c r="AZ959" s="3"/>
      <c r="BA959" s="3"/>
      <c r="BB959" s="3"/>
      <c r="BC959" s="3"/>
    </row>
    <row r="960" spans="6:55" ht="12.95" customHeight="1">
      <c r="AU960" s="2"/>
      <c r="AZ960" s="3"/>
      <c r="BA960" s="3"/>
      <c r="BB960" s="3"/>
      <c r="BC960" s="3"/>
    </row>
    <row r="961" spans="1:64" ht="12.95" customHeight="1">
      <c r="A961" s="2" t="s">
        <v>928</v>
      </c>
      <c r="C961" s="2" t="s">
        <v>247</v>
      </c>
      <c r="AZ961" s="3"/>
      <c r="BA961" s="3"/>
      <c r="BB961" s="3"/>
      <c r="BC961" s="3"/>
    </row>
    <row r="962" spans="1:64" ht="12.95" customHeight="1">
      <c r="B962" s="2"/>
      <c r="C962" s="19" t="s">
        <v>1661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1662</v>
      </c>
      <c r="D964" s="5"/>
      <c r="E964" s="5"/>
      <c r="F964" s="5"/>
      <c r="G964" s="5"/>
      <c r="H964" s="5"/>
      <c r="I964" s="5"/>
      <c r="J964" s="5"/>
      <c r="K964" s="5"/>
      <c r="L964" s="38"/>
      <c r="M964" s="1509">
        <v>44211</v>
      </c>
      <c r="N964" s="1510"/>
      <c r="O964" s="1510"/>
      <c r="P964" s="1510"/>
      <c r="Q964" s="1510"/>
      <c r="R964" s="1510"/>
      <c r="S964" s="1511"/>
      <c r="U964" s="87" t="s">
        <v>1662</v>
      </c>
      <c r="V964" s="5"/>
      <c r="W964" s="5"/>
      <c r="X964" s="5"/>
      <c r="Y964" s="5"/>
      <c r="Z964" s="5"/>
      <c r="AA964" s="5"/>
      <c r="AB964" s="5"/>
      <c r="AC964" s="5"/>
      <c r="AD964" s="38"/>
      <c r="AE964" s="1509"/>
      <c r="AF964" s="1510"/>
      <c r="AG964" s="1510"/>
      <c r="AH964" s="1510"/>
      <c r="AI964" s="1510"/>
      <c r="AJ964" s="1510"/>
      <c r="AK964" s="1511"/>
      <c r="AZ964" s="3"/>
      <c r="BA964" s="3"/>
      <c r="BB964" s="3"/>
      <c r="BC964" s="3"/>
    </row>
    <row r="965" spans="1:64" ht="12.95" customHeight="1">
      <c r="C965" s="87" t="s">
        <v>1663</v>
      </c>
      <c r="D965" s="5"/>
      <c r="E965" s="5"/>
      <c r="F965" s="5"/>
      <c r="G965" s="5"/>
      <c r="H965" s="5"/>
      <c r="I965" s="5"/>
      <c r="J965" s="5"/>
      <c r="K965" s="5"/>
      <c r="L965" s="38"/>
      <c r="M965" s="1273" t="s">
        <v>1664</v>
      </c>
      <c r="N965" s="1274"/>
      <c r="O965" s="1274"/>
      <c r="P965" s="1274"/>
      <c r="Q965" s="1274"/>
      <c r="R965" s="1274"/>
      <c r="S965" s="1275"/>
      <c r="U965" s="87" t="s">
        <v>1663</v>
      </c>
      <c r="V965" s="5"/>
      <c r="W965" s="5"/>
      <c r="X965" s="5"/>
      <c r="Y965" s="5"/>
      <c r="Z965" s="5"/>
      <c r="AA965" s="5"/>
      <c r="AB965" s="5"/>
      <c r="AC965" s="5"/>
      <c r="AD965" s="38"/>
      <c r="AE965" s="1273"/>
      <c r="AF965" s="1274"/>
      <c r="AG965" s="1274"/>
      <c r="AH965" s="1274"/>
      <c r="AI965" s="1274"/>
      <c r="AJ965" s="1274"/>
      <c r="AK965" s="1275"/>
      <c r="AZ965" s="3"/>
      <c r="BA965" s="3"/>
      <c r="BB965" s="3"/>
      <c r="BC965" s="3"/>
    </row>
    <row r="966" spans="1:64" ht="12.95" customHeight="1">
      <c r="C966" s="87" t="s">
        <v>1665</v>
      </c>
      <c r="D966" s="5"/>
      <c r="E966" s="5"/>
      <c r="J966" s="1276" t="s">
        <v>1666</v>
      </c>
      <c r="K966" s="1277"/>
      <c r="L966" s="1277"/>
      <c r="M966" s="1277"/>
      <c r="N966" s="1277"/>
      <c r="O966" s="1277"/>
      <c r="P966" s="1277"/>
      <c r="Q966" s="1277"/>
      <c r="R966" s="1277"/>
      <c r="S966" s="1278"/>
      <c r="U966" s="87" t="s">
        <v>1665</v>
      </c>
      <c r="V966" s="5"/>
      <c r="W966" s="5"/>
      <c r="AB966" s="1276" t="s">
        <v>472</v>
      </c>
      <c r="AC966" s="1277"/>
      <c r="AD966" s="1277"/>
      <c r="AE966" s="1277"/>
      <c r="AF966" s="1277"/>
      <c r="AG966" s="1277"/>
      <c r="AH966" s="1277"/>
      <c r="AI966" s="1277"/>
      <c r="AJ966" s="1277"/>
      <c r="AK966" s="1278"/>
      <c r="AZ966" s="3"/>
      <c r="BA966" s="3"/>
      <c r="BB966" s="3"/>
      <c r="BC966" s="3"/>
    </row>
    <row r="967" spans="1:64" ht="12.95" customHeight="1">
      <c r="C967" s="87" t="s">
        <v>1667</v>
      </c>
      <c r="D967" s="5"/>
      <c r="E967" s="5"/>
      <c r="F967" s="5"/>
      <c r="G967" s="5"/>
      <c r="H967" s="5"/>
      <c r="I967" s="5"/>
      <c r="J967" s="5"/>
      <c r="K967" s="5"/>
      <c r="L967" s="38"/>
      <c r="M967" s="1554">
        <v>0.27</v>
      </c>
      <c r="N967" s="1526"/>
      <c r="O967" s="1526"/>
      <c r="P967" s="1526"/>
      <c r="Q967" s="1526"/>
      <c r="R967" s="1526"/>
      <c r="S967" s="1527"/>
      <c r="U967" s="87" t="s">
        <v>1667</v>
      </c>
      <c r="V967" s="5"/>
      <c r="W967" s="5"/>
      <c r="X967" s="5"/>
      <c r="Y967" s="5"/>
      <c r="Z967" s="5"/>
      <c r="AA967" s="5"/>
      <c r="AB967" s="5"/>
      <c r="AC967" s="5"/>
      <c r="AD967" s="38"/>
      <c r="AE967" s="1525"/>
      <c r="AF967" s="1526"/>
      <c r="AG967" s="1526"/>
      <c r="AH967" s="1526"/>
      <c r="AI967" s="1526"/>
      <c r="AJ967" s="1526"/>
      <c r="AK967" s="1527"/>
      <c r="AZ967" s="3"/>
      <c r="BA967" s="3"/>
      <c r="BB967" s="3"/>
      <c r="BC967" s="3"/>
    </row>
    <row r="968" spans="1:64" ht="12.95" customHeight="1">
      <c r="C968" s="87" t="s">
        <v>1668</v>
      </c>
      <c r="D968" s="5"/>
      <c r="E968" s="5"/>
      <c r="F968" s="5"/>
      <c r="G968" s="5"/>
      <c r="H968" s="5"/>
      <c r="I968" s="5"/>
      <c r="J968" s="5"/>
      <c r="K968" s="5"/>
      <c r="L968" s="38"/>
      <c r="M968" s="1533">
        <v>27</v>
      </c>
      <c r="N968" s="1534"/>
      <c r="O968" s="1534"/>
      <c r="P968" s="1534"/>
      <c r="Q968" s="1534"/>
      <c r="R968" s="1534"/>
      <c r="S968" s="1535"/>
      <c r="U968" s="87" t="s">
        <v>1668</v>
      </c>
      <c r="V968" s="5"/>
      <c r="W968" s="5"/>
      <c r="X968" s="5"/>
      <c r="Y968" s="5"/>
      <c r="Z968" s="5"/>
      <c r="AA968" s="5"/>
      <c r="AB968" s="5"/>
      <c r="AC968" s="5"/>
      <c r="AD968" s="38"/>
      <c r="AE968" s="1533"/>
      <c r="AF968" s="1534"/>
      <c r="AG968" s="1534"/>
      <c r="AH968" s="1534"/>
      <c r="AI968" s="1534"/>
      <c r="AJ968" s="1534"/>
      <c r="AK968" s="1535"/>
      <c r="AV968" s="2"/>
      <c r="AW968" s="2"/>
      <c r="AX968" s="2"/>
      <c r="AY968" s="2"/>
      <c r="AZ968" s="3"/>
      <c r="BA968" s="3"/>
      <c r="BB968" s="3"/>
      <c r="BC968" s="3"/>
    </row>
    <row r="969" spans="1:64" ht="12.95" customHeight="1">
      <c r="C969" s="87" t="s">
        <v>1669</v>
      </c>
      <c r="D969" s="5"/>
      <c r="E969" s="5"/>
      <c r="F969" s="5"/>
      <c r="G969" s="5"/>
      <c r="H969" s="5"/>
      <c r="I969" s="5"/>
      <c r="J969" s="5"/>
      <c r="K969" s="5"/>
      <c r="L969" s="38"/>
      <c r="M969" s="1313">
        <f>Z817</f>
        <v>557244</v>
      </c>
      <c r="N969" s="1314"/>
      <c r="O969" s="1314"/>
      <c r="P969" s="1314"/>
      <c r="Q969" s="1314"/>
      <c r="R969" s="1314"/>
      <c r="S969" s="1315"/>
      <c r="U969" s="87" t="s">
        <v>1669</v>
      </c>
      <c r="V969" s="5"/>
      <c r="W969" s="5"/>
      <c r="X969" s="5"/>
      <c r="Y969" s="5"/>
      <c r="Z969" s="5"/>
      <c r="AA969" s="5"/>
      <c r="AB969" s="5"/>
      <c r="AC969" s="5"/>
      <c r="AD969" s="38"/>
      <c r="AE969" s="1313"/>
      <c r="AF969" s="1314"/>
      <c r="AG969" s="1314"/>
      <c r="AH969" s="1314"/>
      <c r="AI969" s="1314"/>
      <c r="AJ969" s="1314"/>
      <c r="AK969" s="1315"/>
      <c r="AV969" s="2"/>
      <c r="AW969" s="2"/>
      <c r="AX969" s="2"/>
      <c r="AY969" s="2"/>
      <c r="AZ969" s="3"/>
      <c r="BA969" s="3"/>
      <c r="BB969" s="3"/>
      <c r="BC969" s="3"/>
    </row>
    <row r="970" spans="1:64" ht="12.95" customHeight="1">
      <c r="C970" s="87" t="s">
        <v>1670</v>
      </c>
      <c r="D970" s="5"/>
      <c r="E970" s="5"/>
      <c r="F970" s="5"/>
      <c r="G970" s="5"/>
      <c r="H970" s="5"/>
      <c r="I970" s="5"/>
      <c r="J970" s="5"/>
      <c r="K970" s="5"/>
      <c r="L970" s="38"/>
      <c r="M970" s="1313">
        <f>M969*M971</f>
        <v>13931100</v>
      </c>
      <c r="N970" s="1314"/>
      <c r="O970" s="1314"/>
      <c r="P970" s="1314"/>
      <c r="Q970" s="1314"/>
      <c r="R970" s="1314"/>
      <c r="S970" s="1315"/>
      <c r="U970" s="87" t="s">
        <v>1670</v>
      </c>
      <c r="V970" s="5"/>
      <c r="W970" s="5"/>
      <c r="X970" s="5"/>
      <c r="Y970" s="5"/>
      <c r="Z970" s="5"/>
      <c r="AA970" s="5"/>
      <c r="AB970" s="5"/>
      <c r="AC970" s="5"/>
      <c r="AD970" s="38"/>
      <c r="AE970" s="1313"/>
      <c r="AF970" s="1314"/>
      <c r="AG970" s="1314"/>
      <c r="AH970" s="1314"/>
      <c r="AI970" s="1314"/>
      <c r="AJ970" s="1314"/>
      <c r="AK970" s="1315"/>
      <c r="AV970" s="2"/>
      <c r="AW970" s="2"/>
      <c r="AX970" s="2"/>
      <c r="AY970" s="2"/>
      <c r="AZ970" s="3"/>
      <c r="BB970" s="3"/>
      <c r="BC970" s="3"/>
    </row>
    <row r="971" spans="1:64" ht="12.95" customHeight="1">
      <c r="C971" s="87" t="s">
        <v>1269</v>
      </c>
      <c r="D971" s="5"/>
      <c r="E971" s="5"/>
      <c r="F971" s="5"/>
      <c r="G971" s="5"/>
      <c r="H971" s="5"/>
      <c r="I971" s="5"/>
      <c r="J971" s="5"/>
      <c r="K971" s="5"/>
      <c r="L971" s="38"/>
      <c r="M971" s="1310">
        <v>25</v>
      </c>
      <c r="N971" s="1311"/>
      <c r="O971" s="1311"/>
      <c r="P971" s="1311"/>
      <c r="Q971" s="1311"/>
      <c r="R971" s="1311"/>
      <c r="S971" s="1312"/>
      <c r="U971" s="87" t="s">
        <v>1269</v>
      </c>
      <c r="V971" s="5"/>
      <c r="W971" s="5"/>
      <c r="X971" s="5"/>
      <c r="Y971" s="5"/>
      <c r="Z971" s="5"/>
      <c r="AA971" s="5"/>
      <c r="AB971" s="5"/>
      <c r="AC971" s="5"/>
      <c r="AD971" s="38"/>
      <c r="AE971" s="1310"/>
      <c r="AF971" s="1311"/>
      <c r="AG971" s="1311"/>
      <c r="AH971" s="1311"/>
      <c r="AI971" s="1311"/>
      <c r="AJ971" s="1311"/>
      <c r="AK971" s="1312"/>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1007</v>
      </c>
      <c r="C973" s="2" t="s">
        <v>1671</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1672</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3"/>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1673</v>
      </c>
      <c r="G976" s="5"/>
      <c r="H976" s="5"/>
      <c r="I976" s="5"/>
      <c r="J976" s="5"/>
      <c r="K976" s="5"/>
      <c r="L976" s="38"/>
      <c r="M976" s="1270"/>
      <c r="N976" s="1271"/>
      <c r="O976" s="1271"/>
      <c r="P976" s="1271"/>
      <c r="Q976" s="1271"/>
      <c r="R976" s="1271"/>
      <c r="S976" s="1272"/>
      <c r="T976" s="87" t="s">
        <v>1674</v>
      </c>
      <c r="U976" s="5"/>
      <c r="V976" s="5"/>
      <c r="W976" s="5"/>
      <c r="X976" s="5"/>
      <c r="Y976" s="5"/>
      <c r="Z976" s="38"/>
      <c r="AA976" s="1270"/>
      <c r="AB976" s="1271"/>
      <c r="AC976" s="1271"/>
      <c r="AD976" s="1271"/>
      <c r="AE976" s="1271"/>
      <c r="AF976" s="1271"/>
      <c r="AG976" s="1272"/>
      <c r="AH976"/>
      <c r="AI976"/>
      <c r="AJ976"/>
      <c r="AK976"/>
      <c r="AL976"/>
      <c r="AM976"/>
      <c r="AN976"/>
      <c r="AO976"/>
      <c r="AP976"/>
      <c r="AQ976"/>
      <c r="AR976"/>
      <c r="AS976"/>
      <c r="AT976"/>
      <c r="AU976" s="1183"/>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1675</v>
      </c>
      <c r="G977" s="5"/>
      <c r="H977" s="5"/>
      <c r="I977" s="5"/>
      <c r="J977" s="5"/>
      <c r="K977" s="5"/>
      <c r="L977" s="38"/>
      <c r="M977" s="1270"/>
      <c r="N977" s="1271"/>
      <c r="O977" s="1271"/>
      <c r="P977" s="1271"/>
      <c r="Q977" s="1271"/>
      <c r="R977" s="1271"/>
      <c r="S977" s="1272"/>
      <c r="T977" s="87" t="s">
        <v>1676</v>
      </c>
      <c r="U977" s="5"/>
      <c r="V977" s="5"/>
      <c r="W977" s="5"/>
      <c r="X977" s="5"/>
      <c r="Y977" s="5"/>
      <c r="Z977" s="38"/>
      <c r="AA977" s="1270"/>
      <c r="AB977" s="1271"/>
      <c r="AC977" s="1271"/>
      <c r="AD977" s="1271"/>
      <c r="AE977" s="1271"/>
      <c r="AF977" s="1271"/>
      <c r="AG977" s="1272"/>
      <c r="AH977"/>
      <c r="AI977"/>
      <c r="AJ977"/>
      <c r="AK977"/>
      <c r="AL977"/>
      <c r="AM977"/>
      <c r="AN977"/>
      <c r="AO977"/>
      <c r="AP977"/>
      <c r="AQ977"/>
      <c r="AR977"/>
      <c r="AS977"/>
      <c r="AT977"/>
      <c r="AU977" s="1183"/>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1677</v>
      </c>
      <c r="G978" s="5"/>
      <c r="H978" s="5"/>
      <c r="I978" s="5"/>
      <c r="J978" s="5"/>
      <c r="K978" s="5"/>
      <c r="L978" s="38"/>
      <c r="M978" s="1546" t="s">
        <v>826</v>
      </c>
      <c r="N978" s="1547"/>
      <c r="O978" s="1547"/>
      <c r="P978" s="1547"/>
      <c r="Q978" s="1547"/>
      <c r="R978" s="1547"/>
      <c r="S978" s="1548"/>
      <c r="T978" s="37" t="s">
        <v>1678</v>
      </c>
      <c r="U978" s="5"/>
      <c r="V978" s="5"/>
      <c r="W978" s="5"/>
      <c r="X978" s="5"/>
      <c r="Y978" s="5"/>
      <c r="Z978" s="38"/>
      <c r="AA978" s="1270"/>
      <c r="AB978" s="1271"/>
      <c r="AC978" s="1271"/>
      <c r="AD978" s="1271"/>
      <c r="AE978" s="1271"/>
      <c r="AF978" s="1271"/>
      <c r="AG978" s="1272"/>
      <c r="AH978"/>
      <c r="AI978"/>
      <c r="AJ978"/>
      <c r="AK978"/>
      <c r="AL978"/>
      <c r="AM978"/>
      <c r="AN978"/>
      <c r="AO978"/>
      <c r="AP978"/>
      <c r="AQ978"/>
      <c r="AR978"/>
      <c r="AS978"/>
      <c r="AT978"/>
      <c r="AU978" s="1183"/>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1679</v>
      </c>
      <c r="G979" s="5"/>
      <c r="H979" s="5"/>
      <c r="I979" s="5"/>
      <c r="J979" s="5"/>
      <c r="K979" s="5"/>
      <c r="L979" s="38"/>
      <c r="M979" s="1270"/>
      <c r="N979" s="1271"/>
      <c r="O979" s="1271"/>
      <c r="P979" s="1271"/>
      <c r="Q979" s="1271"/>
      <c r="R979" s="1271"/>
      <c r="S979" s="1272"/>
      <c r="T979" s="37" t="s">
        <v>1680</v>
      </c>
      <c r="U979" s="5"/>
      <c r="V979" s="5"/>
      <c r="W979" s="5"/>
      <c r="X979" s="5"/>
      <c r="Y979" s="5"/>
      <c r="Z979" s="38"/>
      <c r="AA979" s="1270"/>
      <c r="AB979" s="1271"/>
      <c r="AC979" s="1271"/>
      <c r="AD979" s="1271"/>
      <c r="AE979" s="1271"/>
      <c r="AF979" s="1271"/>
      <c r="AG979" s="1272"/>
      <c r="AH979"/>
      <c r="AI979"/>
      <c r="AJ979"/>
      <c r="AK979"/>
      <c r="AL979"/>
      <c r="AM979"/>
      <c r="AN979"/>
      <c r="AO979"/>
      <c r="AP979"/>
      <c r="AQ979"/>
      <c r="AR979"/>
      <c r="AS979"/>
      <c r="AT979"/>
      <c r="AU979" s="1183"/>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1681</v>
      </c>
      <c r="G980" s="5"/>
      <c r="H980" s="5"/>
      <c r="I980" s="5"/>
      <c r="J980" s="5"/>
      <c r="K980" s="5"/>
      <c r="L980" s="38"/>
      <c r="M980" s="1270"/>
      <c r="N980" s="1271"/>
      <c r="O980" s="1271"/>
      <c r="P980" s="1271"/>
      <c r="Q980" s="1271"/>
      <c r="R980" s="1271"/>
      <c r="S980" s="1272"/>
      <c r="T980" s="37" t="s">
        <v>1682</v>
      </c>
      <c r="U980" s="5"/>
      <c r="V980" s="5"/>
      <c r="W980" s="5"/>
      <c r="X980" s="5"/>
      <c r="Y980" s="5"/>
      <c r="Z980" s="38"/>
      <c r="AA980" s="1270"/>
      <c r="AB980" s="1271"/>
      <c r="AC980" s="1271"/>
      <c r="AD980" s="1271"/>
      <c r="AE980" s="1271"/>
      <c r="AF980" s="1271"/>
      <c r="AG980" s="1272"/>
      <c r="AH980"/>
      <c r="AI980"/>
      <c r="AJ980"/>
      <c r="AK980"/>
      <c r="AL980"/>
      <c r="AM980"/>
      <c r="AN980"/>
      <c r="AO980"/>
      <c r="AP980"/>
      <c r="AQ980"/>
      <c r="AR980"/>
      <c r="AS980"/>
      <c r="AT980"/>
      <c r="AU980" s="1183"/>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4" t="s">
        <v>1665</v>
      </c>
      <c r="G981" s="34"/>
      <c r="H981" s="34"/>
      <c r="I981" s="34"/>
      <c r="J981" s="34"/>
      <c r="K981" s="34"/>
      <c r="L981" s="50"/>
      <c r="M981" s="1276" t="s">
        <v>472</v>
      </c>
      <c r="N981" s="1277"/>
      <c r="O981" s="1277"/>
      <c r="P981" s="1277"/>
      <c r="Q981" s="1277"/>
      <c r="R981" s="1277"/>
      <c r="S981" s="1278"/>
      <c r="T981" s="1280"/>
      <c r="U981" s="1281"/>
      <c r="V981" s="1281"/>
      <c r="W981" s="1281"/>
      <c r="X981" s="1281"/>
      <c r="Y981" s="1281"/>
      <c r="Z981" s="1282"/>
      <c r="AA981" s="1270"/>
      <c r="AB981" s="1271"/>
      <c r="AC981" s="1271"/>
      <c r="AD981" s="1271"/>
      <c r="AE981" s="1271"/>
      <c r="AF981" s="1271"/>
      <c r="AG981" s="1272"/>
      <c r="AH981"/>
      <c r="AI981"/>
      <c r="AJ981"/>
      <c r="AK981"/>
      <c r="AL981"/>
      <c r="AM981"/>
      <c r="AN981"/>
      <c r="AO981"/>
      <c r="AP981"/>
      <c r="AQ981"/>
      <c r="AR981"/>
      <c r="AS981"/>
      <c r="AT981"/>
      <c r="AU981" s="1183"/>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1683</v>
      </c>
      <c r="G982" s="34"/>
      <c r="H982" s="34"/>
      <c r="I982" s="34"/>
      <c r="J982" s="34"/>
      <c r="K982" s="34"/>
      <c r="L982" s="50"/>
      <c r="M982" s="1270"/>
      <c r="N982" s="1271"/>
      <c r="O982" s="1271"/>
      <c r="P982" s="1271"/>
      <c r="Q982" s="1271"/>
      <c r="R982" s="1271"/>
      <c r="S982" s="1272"/>
      <c r="T982" s="1280"/>
      <c r="U982" s="1281"/>
      <c r="V982" s="1281"/>
      <c r="W982" s="1281"/>
      <c r="X982" s="1281"/>
      <c r="Y982" s="1281"/>
      <c r="Z982" s="1282"/>
      <c r="AA982" s="1270"/>
      <c r="AB982" s="1271"/>
      <c r="AC982" s="1271"/>
      <c r="AD982" s="1271"/>
      <c r="AE982" s="1271"/>
      <c r="AF982" s="1271"/>
      <c r="AG982" s="1272"/>
      <c r="AH982"/>
      <c r="AI982"/>
      <c r="AJ982"/>
      <c r="AK982"/>
      <c r="AL982"/>
      <c r="AM982"/>
      <c r="AN982"/>
      <c r="AO982"/>
      <c r="AP982"/>
      <c r="AQ982"/>
      <c r="AR982"/>
      <c r="AS982"/>
      <c r="AT982"/>
      <c r="AU982" s="1183"/>
      <c r="AV982"/>
      <c r="AW982"/>
      <c r="AX982"/>
      <c r="AY982"/>
      <c r="AZ982" s="3"/>
      <c r="BA982" s="3"/>
      <c r="BB982" s="3"/>
      <c r="BC982" s="3"/>
      <c r="BD982" s="3"/>
      <c r="BE982" s="3"/>
      <c r="BF982" s="3"/>
      <c r="BG982" s="3"/>
      <c r="BH982" s="3"/>
      <c r="BI982" s="3"/>
      <c r="BJ982" s="3"/>
      <c r="BK982" s="3"/>
      <c r="BL982" s="3"/>
    </row>
    <row r="983" spans="1:64" ht="12.95" customHeight="1">
      <c r="F983" s="33" t="s">
        <v>1684</v>
      </c>
      <c r="G983" s="34"/>
      <c r="H983" s="34"/>
      <c r="I983" s="34"/>
      <c r="J983" s="34"/>
      <c r="K983" s="34"/>
      <c r="L983" s="34"/>
      <c r="M983" s="34"/>
      <c r="N983" s="34"/>
      <c r="O983" s="1456" t="s">
        <v>701</v>
      </c>
      <c r="P983" s="1457"/>
      <c r="Q983" s="67"/>
      <c r="R983" s="67"/>
      <c r="S983" s="68"/>
      <c r="T983" s="33" t="s">
        <v>233</v>
      </c>
      <c r="U983" s="34"/>
      <c r="V983" s="34"/>
      <c r="W983" s="1469" t="s">
        <v>1282</v>
      </c>
      <c r="X983" s="1470"/>
      <c r="Y983" s="1470"/>
      <c r="Z983" s="1470"/>
      <c r="AA983" s="1470"/>
      <c r="AB983" s="1470"/>
      <c r="AC983" s="1470"/>
      <c r="AD983" s="1470"/>
      <c r="AE983" s="1470"/>
      <c r="AF983" s="1470"/>
      <c r="AG983" s="1471"/>
      <c r="AU983" s="1183"/>
      <c r="AV983" s="70"/>
      <c r="AW983" s="70"/>
      <c r="AX983" s="70"/>
      <c r="AY983" s="70"/>
      <c r="AZ983" s="3"/>
      <c r="BB983" s="3"/>
      <c r="BC983" s="3"/>
      <c r="BD983" s="3"/>
      <c r="BE983" s="3"/>
      <c r="BF983" s="3"/>
      <c r="BG983" s="3"/>
      <c r="BH983" s="3"/>
      <c r="BI983" s="3"/>
      <c r="BJ983" s="3"/>
      <c r="BK983" s="3"/>
      <c r="BL983" s="3"/>
    </row>
    <row r="984" spans="1:64" ht="12.95" customHeight="1">
      <c r="F984" s="1515" t="s">
        <v>1685</v>
      </c>
      <c r="G984" s="1349"/>
      <c r="H984" s="1349"/>
      <c r="I984" s="1349"/>
      <c r="J984" s="1349"/>
      <c r="K984" s="1349"/>
      <c r="L984" s="1349"/>
      <c r="M984" s="1270"/>
      <c r="N984" s="1271"/>
      <c r="O984" s="1271"/>
      <c r="P984" s="1271"/>
      <c r="Q984" s="1271"/>
      <c r="R984" s="1271"/>
      <c r="S984" s="1272"/>
      <c r="T984" s="39"/>
      <c r="U984" s="40"/>
      <c r="V984" s="40"/>
      <c r="W984" s="40"/>
      <c r="X984" s="40"/>
      <c r="Y984" s="40"/>
      <c r="Z984" s="90" t="s">
        <v>1686</v>
      </c>
      <c r="AA984" s="1492"/>
      <c r="AB984" s="1493"/>
      <c r="AC984" s="1493"/>
      <c r="AD984" s="1493"/>
      <c r="AE984" s="1493"/>
      <c r="AF984" s="1493"/>
      <c r="AG984" s="1494"/>
      <c r="AU984" s="1183"/>
      <c r="AV984" s="70"/>
      <c r="AW984" s="70"/>
      <c r="AX984" s="70"/>
      <c r="AY984" s="70"/>
      <c r="AZ984" s="13"/>
      <c r="BA984" s="13"/>
      <c r="BB984" s="3"/>
      <c r="BC984" s="3"/>
      <c r="BD984" s="3"/>
      <c r="BE984" s="3"/>
      <c r="BF984" s="3"/>
      <c r="BG984" s="13"/>
      <c r="BH984" s="13"/>
      <c r="BI984" s="13"/>
      <c r="BJ984" s="13"/>
      <c r="BK984" s="13"/>
      <c r="BL984" s="13"/>
    </row>
    <row r="985" spans="1:64" ht="12.95" customHeight="1">
      <c r="AU985" s="1183"/>
      <c r="AV985" s="1183"/>
      <c r="AW985" s="1183"/>
      <c r="AX985" s="1183"/>
      <c r="AY985" s="1183"/>
      <c r="AZ985" s="13"/>
      <c r="BA985" s="13"/>
      <c r="BB985" s="13"/>
      <c r="BC985" s="13"/>
      <c r="BD985" s="13"/>
      <c r="BE985" s="13"/>
      <c r="BF985" s="13"/>
      <c r="BG985" s="1230"/>
      <c r="BH985" s="1230"/>
      <c r="BI985" s="1230"/>
      <c r="BJ985" s="1230"/>
      <c r="BK985" s="1230"/>
      <c r="BL985" s="1230"/>
    </row>
    <row r="986" spans="1:64" ht="12.95" customHeight="1">
      <c r="AU986" s="1183"/>
      <c r="AV986" s="1183"/>
      <c r="AW986" s="1183"/>
      <c r="AX986" s="1183"/>
      <c r="AY986" s="1183"/>
      <c r="AZ986" s="13"/>
      <c r="BA986" s="13"/>
      <c r="BB986" s="804"/>
      <c r="BC986" s="804"/>
      <c r="BD986" s="13"/>
      <c r="BE986" s="13"/>
      <c r="BF986" s="13"/>
      <c r="BG986" s="13"/>
      <c r="BH986" s="13"/>
      <c r="BI986" s="13"/>
      <c r="BJ986" s="13"/>
      <c r="BK986" s="13"/>
      <c r="BL986" s="13"/>
    </row>
    <row r="987" spans="1:64" ht="12.95" customHeight="1">
      <c r="AU987" s="1183"/>
      <c r="AV987" s="1183"/>
      <c r="AW987" s="1183"/>
      <c r="AX987" s="1183"/>
      <c r="AY987" s="1183"/>
      <c r="AZ987" s="13"/>
      <c r="BA987" s="13"/>
      <c r="BB987" s="804"/>
      <c r="BC987" s="804"/>
    </row>
    <row r="988" spans="1:64" ht="12.95" customHeight="1">
      <c r="A988" s="1419" t="s">
        <v>1687</v>
      </c>
      <c r="B988" s="1419"/>
      <c r="C988" s="1419"/>
      <c r="D988" s="1419"/>
      <c r="E988" s="1419"/>
      <c r="F988" s="1419"/>
      <c r="G988" s="1419"/>
      <c r="H988" s="1419"/>
      <c r="I988" s="1419"/>
      <c r="J988" s="1419"/>
      <c r="K988" s="1419"/>
      <c r="L988" s="1419"/>
      <c r="M988" s="1419"/>
      <c r="N988" s="1419"/>
      <c r="O988" s="1419"/>
      <c r="P988" s="1419"/>
      <c r="Q988" s="1419"/>
      <c r="R988" s="1419"/>
      <c r="S988" s="1419"/>
      <c r="T988" s="1419"/>
      <c r="U988" s="1419"/>
      <c r="V988" s="1419"/>
      <c r="W988" s="1419"/>
      <c r="X988" s="1419"/>
      <c r="Y988" s="1419"/>
      <c r="Z988" s="1419"/>
      <c r="AA988" s="1419"/>
      <c r="AB988" s="1419"/>
      <c r="AC988" s="1419"/>
      <c r="AD988" s="1419"/>
      <c r="AE988" s="1419"/>
      <c r="AF988" s="1419"/>
      <c r="AG988" s="1419"/>
      <c r="AH988" s="1419"/>
      <c r="AI988" s="1419"/>
      <c r="AJ988" s="1419"/>
      <c r="AK988" s="1419"/>
      <c r="AL988" s="1419"/>
      <c r="AM988" s="1419"/>
      <c r="AN988" s="1419"/>
      <c r="AO988" s="1419"/>
      <c r="AP988" s="1419"/>
      <c r="AQ988" s="1419"/>
      <c r="AR988" s="1419"/>
      <c r="AS988" s="1419"/>
      <c r="AT988" s="1419"/>
      <c r="AU988" s="1183"/>
      <c r="AV988" s="1183"/>
      <c r="AW988" s="1183"/>
      <c r="AX988" s="1183"/>
      <c r="AY988" s="1183"/>
      <c r="AZ988" s="13"/>
      <c r="BA988" s="13"/>
      <c r="BB988" s="804"/>
      <c r="BC988" s="804"/>
    </row>
    <row r="989" spans="1:64" ht="12.95" customHeight="1">
      <c r="A989" s="1419"/>
      <c r="B989" s="1419"/>
      <c r="C989" s="1419"/>
      <c r="D989" s="1419"/>
      <c r="E989" s="1419"/>
      <c r="F989" s="1419"/>
      <c r="G989" s="1419"/>
      <c r="H989" s="1419"/>
      <c r="I989" s="1419"/>
      <c r="J989" s="1419"/>
      <c r="K989" s="1419"/>
      <c r="L989" s="1419"/>
      <c r="M989" s="1419"/>
      <c r="N989" s="1419"/>
      <c r="O989" s="1419"/>
      <c r="P989" s="1419"/>
      <c r="Q989" s="1419"/>
      <c r="R989" s="1419"/>
      <c r="S989" s="1419"/>
      <c r="T989" s="1419"/>
      <c r="U989" s="1419"/>
      <c r="V989" s="1419"/>
      <c r="W989" s="1419"/>
      <c r="X989" s="1419"/>
      <c r="Y989" s="1419"/>
      <c r="Z989" s="1419"/>
      <c r="AA989" s="1419"/>
      <c r="AB989" s="1419"/>
      <c r="AC989" s="1419"/>
      <c r="AD989" s="1419"/>
      <c r="AE989" s="1419"/>
      <c r="AF989" s="1419"/>
      <c r="AG989" s="1419"/>
      <c r="AH989" s="1419"/>
      <c r="AI989" s="1419"/>
      <c r="AJ989" s="1419"/>
      <c r="AK989" s="1419"/>
      <c r="AL989" s="1419"/>
      <c r="AM989" s="1419"/>
      <c r="AN989" s="1419"/>
      <c r="AO989" s="1419"/>
      <c r="AP989" s="1419"/>
      <c r="AQ989" s="1419"/>
      <c r="AR989" s="1419"/>
      <c r="AS989" s="1419"/>
      <c r="AT989" s="1419"/>
      <c r="AU989" s="1183"/>
      <c r="AV989" s="1183"/>
      <c r="AW989" s="1183"/>
      <c r="AX989" s="1183"/>
      <c r="AY989" s="1183"/>
      <c r="AZ989" s="25"/>
      <c r="BA989" s="13"/>
      <c r="BB989" s="13"/>
      <c r="BC989" s="13"/>
    </row>
    <row r="990" spans="1:64" ht="12.95" customHeight="1">
      <c r="A990" s="1419"/>
      <c r="B990" s="1419"/>
      <c r="C990" s="1419"/>
      <c r="D990" s="1419"/>
      <c r="E990" s="1419"/>
      <c r="F990" s="1419"/>
      <c r="G990" s="1419"/>
      <c r="H990" s="1419"/>
      <c r="I990" s="1419"/>
      <c r="J990" s="1419"/>
      <c r="K990" s="1419"/>
      <c r="L990" s="1419"/>
      <c r="M990" s="1419"/>
      <c r="N990" s="1419"/>
      <c r="O990" s="1419"/>
      <c r="P990" s="1419"/>
      <c r="Q990" s="1419"/>
      <c r="R990" s="1419"/>
      <c r="S990" s="1419"/>
      <c r="T990" s="1419"/>
      <c r="U990" s="1419"/>
      <c r="V990" s="1419"/>
      <c r="W990" s="1419"/>
      <c r="X990" s="1419"/>
      <c r="Y990" s="1419"/>
      <c r="Z990" s="1419"/>
      <c r="AA990" s="1419"/>
      <c r="AB990" s="1419"/>
      <c r="AC990" s="1419"/>
      <c r="AD990" s="1419"/>
      <c r="AE990" s="1419"/>
      <c r="AF990" s="1419"/>
      <c r="AG990" s="1419"/>
      <c r="AH990" s="1419"/>
      <c r="AI990" s="1419"/>
      <c r="AJ990" s="1419"/>
      <c r="AK990" s="1419"/>
      <c r="AL990" s="1419"/>
      <c r="AM990" s="1419"/>
      <c r="AN990" s="1419"/>
      <c r="AO990" s="1419"/>
      <c r="AP990" s="1419"/>
      <c r="AQ990" s="1419"/>
      <c r="AR990" s="1419"/>
      <c r="AS990" s="1419"/>
      <c r="AT990" s="1419"/>
      <c r="AU990" s="1183"/>
      <c r="AV990" s="1183"/>
      <c r="AW990" s="1183"/>
      <c r="AX990" s="1183"/>
      <c r="AY990" s="1183"/>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3"/>
      <c r="AM991" s="1183"/>
      <c r="AN991" s="1183"/>
      <c r="AO991" s="1183"/>
      <c r="AP991" s="1183"/>
      <c r="AQ991" s="1183"/>
      <c r="AR991" s="1183"/>
      <c r="AS991" s="1183"/>
      <c r="AT991" s="1183"/>
      <c r="AU991" s="1183"/>
      <c r="AV991" s="1183"/>
      <c r="AW991" s="1183"/>
      <c r="AX991" s="1183"/>
      <c r="AY991" s="1183"/>
      <c r="AZ991" s="13"/>
      <c r="BA991" s="13"/>
      <c r="BB991" s="13"/>
      <c r="BC991" s="13"/>
    </row>
    <row r="992" spans="1:64" ht="12.95" customHeight="1">
      <c r="A992" s="2" t="s">
        <v>887</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3"/>
      <c r="AM992" s="1183"/>
      <c r="AN992" s="1183"/>
      <c r="AO992" s="1183"/>
      <c r="AP992" s="1183"/>
      <c r="AQ992" s="1183"/>
      <c r="AR992" s="1183"/>
      <c r="AS992" s="1183"/>
      <c r="AT992" s="1183"/>
      <c r="AU992" s="1183"/>
      <c r="AV992" s="1183"/>
      <c r="AW992" s="1183"/>
      <c r="AX992" s="1183"/>
      <c r="AY992" s="1183"/>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3"/>
      <c r="AM993" s="1183"/>
      <c r="AN993" s="1183"/>
      <c r="AO993" s="1183"/>
      <c r="AP993" s="1183"/>
      <c r="AQ993" s="1183"/>
      <c r="AR993" s="1183"/>
      <c r="AS993" s="1183"/>
      <c r="AT993" s="1183"/>
      <c r="AU993" s="1183"/>
      <c r="AV993" s="1183"/>
      <c r="AW993" s="1183"/>
      <c r="AX993" s="1183"/>
      <c r="AY993" s="1183"/>
      <c r="AZ993" s="13"/>
      <c r="BA993" s="13"/>
      <c r="BB993" s="13"/>
      <c r="BC993" s="13"/>
    </row>
    <row r="994" spans="1:55" ht="12.95" customHeight="1">
      <c r="A994" s="13"/>
      <c r="B994" s="61"/>
      <c r="C994" s="1185"/>
      <c r="D994" s="1328" t="s">
        <v>1688</v>
      </c>
      <c r="E994" s="1329"/>
      <c r="F994" s="1329"/>
      <c r="G994" s="1329"/>
      <c r="H994" s="1329"/>
      <c r="I994" s="1329"/>
      <c r="J994" s="1329"/>
      <c r="K994" s="1329"/>
      <c r="L994" s="1329"/>
      <c r="M994" s="1329"/>
      <c r="N994" s="1329"/>
      <c r="O994" s="1329"/>
      <c r="P994" s="1329"/>
      <c r="Q994" s="1330"/>
      <c r="R994" s="1328" t="s">
        <v>1689</v>
      </c>
      <c r="S994" s="1329"/>
      <c r="T994" s="1329"/>
      <c r="U994" s="1329"/>
      <c r="V994" s="1329"/>
      <c r="W994" s="1329"/>
      <c r="X994" s="1329"/>
      <c r="Y994" s="1329"/>
      <c r="Z994" s="1329"/>
      <c r="AA994" s="1330"/>
      <c r="AB994" s="1328" t="s">
        <v>1690</v>
      </c>
      <c r="AC994" s="1329"/>
      <c r="AD994" s="1329"/>
      <c r="AE994" s="1329"/>
      <c r="AF994" s="1329"/>
      <c r="AG994" s="1329"/>
      <c r="AH994" s="1329"/>
      <c r="AI994" s="1330"/>
      <c r="AJ994" s="1328" t="s">
        <v>1691</v>
      </c>
      <c r="AK994" s="1329"/>
      <c r="AL994" s="1329"/>
      <c r="AM994" s="1329"/>
      <c r="AN994" s="1329"/>
      <c r="AO994" s="1329"/>
      <c r="AP994" s="1329"/>
      <c r="AQ994" s="1330"/>
      <c r="AR994" s="1183"/>
      <c r="AS994" s="1183"/>
      <c r="AT994" s="1183"/>
      <c r="AU994" s="1183"/>
      <c r="AV994" s="1183"/>
      <c r="AW994" s="1183"/>
      <c r="AX994" s="1183"/>
      <c r="AY994" s="1183"/>
      <c r="AZ994" s="25"/>
      <c r="BB994" s="13"/>
      <c r="BC994" s="13"/>
    </row>
    <row r="995" spans="1:55" ht="12.95" customHeight="1">
      <c r="A995" s="13"/>
      <c r="B995" s="58"/>
      <c r="C995" s="819"/>
      <c r="D995" s="1286" t="s">
        <v>852</v>
      </c>
      <c r="E995" s="1287"/>
      <c r="F995" s="1287"/>
      <c r="G995" s="1287"/>
      <c r="H995" s="1287"/>
      <c r="I995" s="1287"/>
      <c r="J995" s="1287"/>
      <c r="K995" s="1287"/>
      <c r="L995" s="1287"/>
      <c r="M995" s="1287"/>
      <c r="N995" s="1287"/>
      <c r="O995" s="1287"/>
      <c r="P995" s="1287"/>
      <c r="Q995" s="1288"/>
      <c r="R995" s="1289">
        <f>IF(ISNA(IF($CU$122="4%",(INDEX($CS$160:$CW$217,MATCH($DG$122,$CR$160:$CR$217,0),MATCH(D995,$CS$159:$CW$159,0))),(INDEX($CZ$160:$DD$217,MATCH($DG$122,$CY$160:$CY$217,0),MATCH(D995,$CZ$159:$DD$159,0))))),0,IF($CU$122="4%",(INDEX($CS$160:$CW$217,MATCH($DG$122,$CR$160:$CR$217,0),MATCH(D995,$CS$159:$CW$159,0))),(INDEX($CZ$160:$DD$217,MATCH($DG$122,$CY$160:$CY$217,0),MATCH(D995,$CZ$159:$DD$159,0)))))</f>
        <v>442904</v>
      </c>
      <c r="S995" s="1289"/>
      <c r="T995" s="1289"/>
      <c r="U995" s="1289"/>
      <c r="V995" s="1289"/>
      <c r="W995" s="1289"/>
      <c r="X995" s="1289"/>
      <c r="Y995" s="1289"/>
      <c r="Z995" s="1289"/>
      <c r="AA995" s="1289"/>
      <c r="AB995" s="1283">
        <f>CP810</f>
        <v>0</v>
      </c>
      <c r="AC995" s="1284"/>
      <c r="AD995" s="1284"/>
      <c r="AE995" s="1284"/>
      <c r="AF995" s="1284"/>
      <c r="AG995" s="1284"/>
      <c r="AH995" s="1284"/>
      <c r="AI995" s="1285"/>
      <c r="AJ995" s="1290">
        <f>IF(ISERROR((R995*AB995)),0,(R995*AB995))</f>
        <v>0</v>
      </c>
      <c r="AK995" s="1291"/>
      <c r="AL995" s="1291"/>
      <c r="AM995" s="1291"/>
      <c r="AN995" s="1291"/>
      <c r="AO995" s="1291"/>
      <c r="AP995" s="1291"/>
      <c r="AQ995" s="1292"/>
      <c r="AR995" s="1183"/>
      <c r="AS995" s="1183"/>
      <c r="AT995" s="1183"/>
      <c r="AU995" s="1183"/>
      <c r="AV995" s="1183"/>
      <c r="AW995" s="1183"/>
      <c r="AX995" s="1183"/>
      <c r="AY995" s="1183"/>
      <c r="AZ995" s="25"/>
      <c r="BB995" s="13"/>
      <c r="BC995" s="13"/>
    </row>
    <row r="996" spans="1:55" ht="12.95" customHeight="1">
      <c r="A996" s="13"/>
      <c r="B996" s="58"/>
      <c r="C996" s="62"/>
      <c r="D996" s="1286" t="s">
        <v>847</v>
      </c>
      <c r="E996" s="1287"/>
      <c r="F996" s="1287"/>
      <c r="G996" s="1287"/>
      <c r="H996" s="1287"/>
      <c r="I996" s="1287"/>
      <c r="J996" s="1287"/>
      <c r="K996" s="1287"/>
      <c r="L996" s="1287"/>
      <c r="M996" s="1287"/>
      <c r="N996" s="1287"/>
      <c r="O996" s="1287"/>
      <c r="P996" s="1287"/>
      <c r="Q996" s="1288"/>
      <c r="R996" s="1289">
        <f>IF(ISNA(IF($CU$122="4%",(INDEX($CS$160:$CW$217,MATCH($DG$122,$CR$160:$CR$217,0),MATCH(D996,$CS$159:$CW$159,0))),(INDEX($CZ$160:$DD$217,MATCH($DG$122,$CY$160:$CY$217,0),MATCH(D996,$CZ$159:$DD$159,0))))),0,IF($CU$122="4%",(INDEX($CS$160:$CW$217,MATCH($DG$122,$CR$160:$CR$217,0),MATCH(D996,$CS$159:$CW$159,0))),(INDEX($CZ$160:$DD$217,MATCH($DG$122,$CY$160:$CY$217,0),MATCH(D996,$CZ$159:$DD$159,0)))))</f>
        <v>510664</v>
      </c>
      <c r="S996" s="1289"/>
      <c r="T996" s="1289"/>
      <c r="U996" s="1289"/>
      <c r="V996" s="1289"/>
      <c r="W996" s="1289"/>
      <c r="X996" s="1289"/>
      <c r="Y996" s="1289"/>
      <c r="Z996" s="1289"/>
      <c r="AA996" s="1289"/>
      <c r="AB996" s="1283">
        <f>CU810</f>
        <v>42</v>
      </c>
      <c r="AC996" s="1284"/>
      <c r="AD996" s="1284"/>
      <c r="AE996" s="1284"/>
      <c r="AF996" s="1284"/>
      <c r="AG996" s="1284"/>
      <c r="AH996" s="1284"/>
      <c r="AI996" s="1285"/>
      <c r="AJ996" s="1290">
        <f>IF(ISERROR((R996*AB996)),0,(R996*AB996))</f>
        <v>21447888</v>
      </c>
      <c r="AK996" s="1291"/>
      <c r="AL996" s="1291"/>
      <c r="AM996" s="1291"/>
      <c r="AN996" s="1291"/>
      <c r="AO996" s="1291"/>
      <c r="AP996" s="1291"/>
      <c r="AQ996" s="1292"/>
      <c r="AR996" s="1183"/>
      <c r="AS996" s="1183"/>
      <c r="AT996" s="1183"/>
      <c r="AU996" s="1183"/>
      <c r="AV996" s="1183"/>
      <c r="AW996" s="1183"/>
      <c r="AX996" s="1183"/>
      <c r="AY996" s="1183"/>
      <c r="AZ996" s="25"/>
      <c r="BB996" s="13"/>
      <c r="BC996" s="13"/>
    </row>
    <row r="997" spans="1:55" ht="12.95" customHeight="1">
      <c r="A997" s="13"/>
      <c r="B997" s="58"/>
      <c r="C997" s="62"/>
      <c r="D997" s="1286" t="s">
        <v>848</v>
      </c>
      <c r="E997" s="1287"/>
      <c r="F997" s="1287"/>
      <c r="G997" s="1287"/>
      <c r="H997" s="1287"/>
      <c r="I997" s="1287"/>
      <c r="J997" s="1287"/>
      <c r="K997" s="1287"/>
      <c r="L997" s="1287"/>
      <c r="M997" s="1287"/>
      <c r="N997" s="1287"/>
      <c r="O997" s="1287"/>
      <c r="P997" s="1287"/>
      <c r="Q997" s="1288"/>
      <c r="R997" s="1289">
        <f>IF(ISNA(IF($CU$122="4%",(INDEX($CS$160:$CW$217,MATCH($DG$122,$CR$160:$CR$217,0),MATCH(D997,$CS$159:$CW$159,0))),(INDEX($CZ$160:$DD$217,MATCH($DG$122,$CY$160:$CY$217,0),MATCH(D997,$CZ$159:$DD$159,0))))),0,IF($CU$122="4%",(INDEX($CS$160:$CW$217,MATCH($DG$122,$CR$160:$CR$217,0),MATCH(D997,$CS$159:$CW$159,0))),(INDEX($CZ$160:$DD$217,MATCH($DG$122,$CY$160:$CY$217,0),MATCH(D997,$CZ$159:$DD$159,0)))))</f>
        <v>616000</v>
      </c>
      <c r="S997" s="1289"/>
      <c r="T997" s="1289"/>
      <c r="U997" s="1289"/>
      <c r="V997" s="1289"/>
      <c r="W997" s="1289"/>
      <c r="X997" s="1289"/>
      <c r="Y997" s="1289"/>
      <c r="Z997" s="1289"/>
      <c r="AA997" s="1289"/>
      <c r="AB997" s="1283">
        <f>CZ810</f>
        <v>32</v>
      </c>
      <c r="AC997" s="1284"/>
      <c r="AD997" s="1284"/>
      <c r="AE997" s="1284"/>
      <c r="AF997" s="1284"/>
      <c r="AG997" s="1284"/>
      <c r="AH997" s="1284"/>
      <c r="AI997" s="1285"/>
      <c r="AJ997" s="1290">
        <f>IF(ISERROR((R997*AB997)),0,(R997*AB997))</f>
        <v>19712000</v>
      </c>
      <c r="AK997" s="1291"/>
      <c r="AL997" s="1291"/>
      <c r="AM997" s="1291"/>
      <c r="AN997" s="1291"/>
      <c r="AO997" s="1291"/>
      <c r="AP997" s="1291"/>
      <c r="AQ997" s="1292"/>
      <c r="AR997" s="1183"/>
      <c r="AS997" s="1183"/>
      <c r="AT997" s="1183"/>
      <c r="AU997" s="1183"/>
      <c r="AV997" s="1183"/>
      <c r="AW997" s="1183"/>
      <c r="AX997" s="1183"/>
      <c r="AY997" s="1183"/>
      <c r="AZ997" s="25"/>
      <c r="BB997" s="13"/>
      <c r="BC997" s="13"/>
    </row>
    <row r="998" spans="1:55" ht="12.95" customHeight="1">
      <c r="A998" s="13"/>
      <c r="B998" s="58"/>
      <c r="C998" s="62"/>
      <c r="D998" s="1286" t="s">
        <v>849</v>
      </c>
      <c r="E998" s="1287"/>
      <c r="F998" s="1287"/>
      <c r="G998" s="1287"/>
      <c r="H998" s="1287"/>
      <c r="I998" s="1287"/>
      <c r="J998" s="1287"/>
      <c r="K998" s="1287"/>
      <c r="L998" s="1287"/>
      <c r="M998" s="1287"/>
      <c r="N998" s="1287"/>
      <c r="O998" s="1287"/>
      <c r="P998" s="1287"/>
      <c r="Q998" s="1288"/>
      <c r="R998" s="1289">
        <f>IF(ISNA(IF($CU$122="4%",(INDEX($CS$160:$CW$217,MATCH($DG$122,$CR$160:$CR$217,0),MATCH(D998,$CS$159:$CW$159,0))),(INDEX($CZ$160:$DD$217,MATCH($DG$122,$CY$160:$CY$217,0),MATCH(D998,$CZ$159:$DD$159,0))))),0,IF($CU$122="4%",(INDEX($CS$160:$CW$217,MATCH($DG$122,$CR$160:$CR$217,0),MATCH(D998,$CS$159:$CW$159,0))),(INDEX($CZ$160:$DD$217,MATCH($DG$122,$CY$160:$CY$217,0),MATCH(D998,$CZ$159:$DD$159,0)))))</f>
        <v>788480</v>
      </c>
      <c r="S998" s="1289"/>
      <c r="T998" s="1289"/>
      <c r="U998" s="1289"/>
      <c r="V998" s="1289"/>
      <c r="W998" s="1289"/>
      <c r="X998" s="1289"/>
      <c r="Y998" s="1289"/>
      <c r="Z998" s="1289"/>
      <c r="AA998" s="1289"/>
      <c r="AB998" s="1283">
        <f>DE810</f>
        <v>26</v>
      </c>
      <c r="AC998" s="1284"/>
      <c r="AD998" s="1284"/>
      <c r="AE998" s="1284"/>
      <c r="AF998" s="1284"/>
      <c r="AG998" s="1284"/>
      <c r="AH998" s="1284"/>
      <c r="AI998" s="1285"/>
      <c r="AJ998" s="1290">
        <f>IF(ISERROR((R998*AB998)),0,(R998*AB998))</f>
        <v>20500480</v>
      </c>
      <c r="AK998" s="1291"/>
      <c r="AL998" s="1291"/>
      <c r="AM998" s="1291"/>
      <c r="AN998" s="1291"/>
      <c r="AO998" s="1291"/>
      <c r="AP998" s="1291"/>
      <c r="AQ998" s="1292"/>
      <c r="AR998" s="1183"/>
      <c r="AS998" s="1183"/>
      <c r="AT998" s="1183"/>
      <c r="AU998" s="1183"/>
      <c r="AV998" s="1183"/>
      <c r="AW998" s="1183"/>
      <c r="AX998" s="1183"/>
      <c r="AY998" s="1183"/>
      <c r="AZ998" s="25"/>
      <c r="BA998" s="3"/>
      <c r="BB998" s="13"/>
      <c r="BC998" s="13"/>
    </row>
    <row r="999" spans="1:55" ht="12.95" customHeight="1">
      <c r="A999" s="13"/>
      <c r="B999" s="39"/>
      <c r="C999" s="60"/>
      <c r="D999" s="1286" t="s">
        <v>853</v>
      </c>
      <c r="E999" s="1287"/>
      <c r="F999" s="1287"/>
      <c r="G999" s="1287"/>
      <c r="H999" s="1287"/>
      <c r="I999" s="1287"/>
      <c r="J999" s="1287"/>
      <c r="K999" s="1287"/>
      <c r="L999" s="1287"/>
      <c r="M999" s="1287"/>
      <c r="N999" s="1287"/>
      <c r="O999" s="1287"/>
      <c r="P999" s="1287"/>
      <c r="Q999" s="1288"/>
      <c r="R999" s="1289">
        <f>IF(ISNA(IF($CU$122="4%",(INDEX($CS$160:$CW$217,MATCH($DG$122,$CR$160:$CR$217,0),MATCH(D999,$CS$159:$CW$159,0))),(INDEX($CZ$160:$DD$217,MATCH($DG$122,$CY$160:$CY$217,0),MATCH(D999,$CZ$159:$DD$159,0))))),0,IF($CU$122="4%",(INDEX($CS$160:$CW$217,MATCH($DG$122,$CR$160:$CR$217,0),MATCH(D999,$CS$159:$CW$159,0))),(INDEX($CZ$160:$DD$217,MATCH($DG$122,$CY$160:$CY$217,0),MATCH(D999,$CZ$159:$DD$159,0)))))</f>
        <v>878416</v>
      </c>
      <c r="S999" s="1289"/>
      <c r="T999" s="1289"/>
      <c r="U999" s="1289"/>
      <c r="V999" s="1289"/>
      <c r="W999" s="1289"/>
      <c r="X999" s="1289"/>
      <c r="Y999" s="1289"/>
      <c r="Z999" s="1289"/>
      <c r="AA999" s="1289"/>
      <c r="AB999" s="1283">
        <f>DO810+DJ810</f>
        <v>0</v>
      </c>
      <c r="AC999" s="1284"/>
      <c r="AD999" s="1284"/>
      <c r="AE999" s="1284"/>
      <c r="AF999" s="1284"/>
      <c r="AG999" s="1284"/>
      <c r="AH999" s="1284"/>
      <c r="AI999" s="1285"/>
      <c r="AJ999" s="1290">
        <f>IF(ISERROR((R999*AB999)),0,(R999*AB999))</f>
        <v>0</v>
      </c>
      <c r="AK999" s="1291"/>
      <c r="AL999" s="1291"/>
      <c r="AM999" s="1291"/>
      <c r="AN999" s="1291"/>
      <c r="AO999" s="1291"/>
      <c r="AP999" s="1291"/>
      <c r="AQ999" s="1292"/>
      <c r="AR999" s="1183"/>
      <c r="AS999" s="1183"/>
      <c r="AT999" s="1183"/>
      <c r="AU999" s="1183"/>
      <c r="AV999" s="1183"/>
      <c r="AW999" s="1183"/>
      <c r="AX999" s="1183"/>
      <c r="AY999" s="1183"/>
      <c r="AZ999" s="25"/>
      <c r="BB999" s="13"/>
      <c r="BC999" s="13"/>
    </row>
    <row r="1000" spans="1:55" ht="12.95" customHeight="1">
      <c r="A1000" s="13"/>
      <c r="B1000" s="1519" t="s">
        <v>1692</v>
      </c>
      <c r="C1000" s="1520"/>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1"/>
      <c r="AB1000" s="1283">
        <f>SUM(AB995:AI999)</f>
        <v>100</v>
      </c>
      <c r="AC1000" s="1284"/>
      <c r="AD1000" s="1284"/>
      <c r="AE1000" s="1284"/>
      <c r="AF1000" s="1284"/>
      <c r="AG1000" s="1284"/>
      <c r="AH1000" s="1284"/>
      <c r="AI1000" s="1285"/>
      <c r="AJ1000" s="1290"/>
      <c r="AK1000" s="1291"/>
      <c r="AL1000" s="1291"/>
      <c r="AM1000" s="1291"/>
      <c r="AN1000" s="1291"/>
      <c r="AO1000" s="1291"/>
      <c r="AP1000" s="1291"/>
      <c r="AQ1000" s="1292"/>
      <c r="AR1000" s="1183"/>
      <c r="AS1000" s="1183"/>
      <c r="AT1000" s="1183"/>
      <c r="AU1000" s="1183"/>
      <c r="AV1000" s="1183"/>
      <c r="AW1000" s="1183"/>
      <c r="AX1000" s="1183"/>
      <c r="AY1000" s="1183"/>
      <c r="AZ1000" s="3"/>
      <c r="BA1000" s="3"/>
      <c r="BB1000" s="13"/>
      <c r="BC1000" s="13"/>
    </row>
    <row r="1001" spans="1:55" ht="12.95" customHeight="1">
      <c r="A1001" s="13"/>
      <c r="B1001" s="1516" t="s">
        <v>1693</v>
      </c>
      <c r="C1001" s="1517"/>
      <c r="D1001" s="1517"/>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8"/>
      <c r="AJ1001" s="1290">
        <f>SUM(AJ995:AQ999)</f>
        <v>61660368</v>
      </c>
      <c r="AK1001" s="1291"/>
      <c r="AL1001" s="1291"/>
      <c r="AM1001" s="1291"/>
      <c r="AN1001" s="1291"/>
      <c r="AO1001" s="1291"/>
      <c r="AP1001" s="1291"/>
      <c r="AQ1001" s="1292"/>
      <c r="AR1001" s="1183"/>
      <c r="AS1001" s="1183"/>
      <c r="AT1001" s="1183"/>
      <c r="AU1001" s="1183"/>
      <c r="AV1001" s="1183"/>
      <c r="AW1001" s="1183"/>
      <c r="AX1001" s="1183"/>
      <c r="AY1001" s="1183"/>
      <c r="AZ1001" s="3"/>
      <c r="BB1001" s="3"/>
      <c r="BC1001" s="3"/>
    </row>
    <row r="1002" spans="1:55" ht="12.95" customHeight="1">
      <c r="A1002" s="13"/>
      <c r="B1002" s="1296"/>
      <c r="C1002" s="1297"/>
      <c r="D1002" s="1297"/>
      <c r="E1002" s="1297"/>
      <c r="F1002" s="1297"/>
      <c r="G1002" s="1297"/>
      <c r="H1002" s="1297"/>
      <c r="I1002" s="1297"/>
      <c r="J1002" s="1297"/>
      <c r="K1002" s="1297"/>
      <c r="L1002" s="1297"/>
      <c r="M1002" s="1297"/>
      <c r="N1002" s="1297"/>
      <c r="O1002" s="1297"/>
      <c r="P1002" s="1297"/>
      <c r="Q1002" s="1297"/>
      <c r="R1002" s="1297"/>
      <c r="S1002" s="1297"/>
      <c r="T1002" s="1297"/>
      <c r="U1002" s="1297"/>
      <c r="V1002" s="1297"/>
      <c r="W1002" s="1297"/>
      <c r="X1002" s="1297"/>
      <c r="Y1002" s="1297"/>
      <c r="Z1002" s="1297"/>
      <c r="AA1002" s="1297"/>
      <c r="AB1002" s="1297"/>
      <c r="AC1002" s="1297"/>
      <c r="AD1002" s="1297"/>
      <c r="AE1002" s="1298"/>
      <c r="AF1002" s="1495" t="s">
        <v>1694</v>
      </c>
      <c r="AG1002" s="1496"/>
      <c r="AH1002" s="1496"/>
      <c r="AI1002" s="1497"/>
      <c r="AJ1002" s="1296"/>
      <c r="AK1002" s="1297"/>
      <c r="AL1002" s="1297"/>
      <c r="AM1002" s="1297"/>
      <c r="AN1002" s="1297"/>
      <c r="AO1002" s="1297"/>
      <c r="AP1002" s="1297"/>
      <c r="AQ1002" s="1298"/>
      <c r="AR1002" s="1183"/>
      <c r="AS1002" s="1183"/>
      <c r="AT1002" s="1183"/>
      <c r="AU1002" s="1183"/>
      <c r="AV1002" s="1183"/>
      <c r="AW1002" s="1183"/>
      <c r="AX1002" s="1183"/>
      <c r="AY1002" s="1183"/>
      <c r="AZ1002" s="3"/>
      <c r="BA1002" s="3"/>
      <c r="BB1002" s="3"/>
      <c r="BC1002" s="3"/>
    </row>
    <row r="1003" spans="1:55" ht="12.95" customHeight="1">
      <c r="A1003" s="13"/>
      <c r="B1003" s="58"/>
      <c r="C1003" s="1186" t="s">
        <v>1695</v>
      </c>
      <c r="D1003" s="1438" t="s">
        <v>1696</v>
      </c>
      <c r="E1003" s="1439"/>
      <c r="F1003" s="1439"/>
      <c r="G1003" s="1439"/>
      <c r="H1003" s="1439"/>
      <c r="I1003" s="1439"/>
      <c r="J1003" s="1439"/>
      <c r="K1003" s="1439"/>
      <c r="L1003" s="1439"/>
      <c r="M1003" s="1439"/>
      <c r="N1003" s="1439"/>
      <c r="O1003" s="1439"/>
      <c r="P1003" s="1439"/>
      <c r="Q1003" s="1439"/>
      <c r="R1003" s="1439"/>
      <c r="S1003" s="1439"/>
      <c r="T1003" s="1439"/>
      <c r="U1003" s="1439"/>
      <c r="V1003" s="1439"/>
      <c r="W1003" s="1439"/>
      <c r="X1003" s="1439"/>
      <c r="Y1003" s="1439"/>
      <c r="Z1003" s="1439"/>
      <c r="AA1003" s="1439"/>
      <c r="AB1003" s="1439"/>
      <c r="AC1003" s="1439"/>
      <c r="AD1003" s="1439"/>
      <c r="AE1003" s="1440"/>
      <c r="AF1003" s="61"/>
      <c r="AG1003" s="1498" t="s">
        <v>862</v>
      </c>
      <c r="AH1003" s="1499"/>
      <c r="AI1003" s="64"/>
      <c r="AJ1003" s="1258">
        <f>ROUND(IF(AND(AG1003="yes",D1009&gt;0),AJ1001*0.2,0),0)</f>
        <v>12332074</v>
      </c>
      <c r="AK1003" s="1259"/>
      <c r="AL1003" s="1259"/>
      <c r="AM1003" s="1259"/>
      <c r="AN1003" s="1259"/>
      <c r="AO1003" s="1259"/>
      <c r="AP1003" s="1259"/>
      <c r="AQ1003" s="1260"/>
      <c r="AR1003" s="1183"/>
      <c r="AS1003" s="1183"/>
      <c r="AT1003" s="1183"/>
      <c r="AU1003" s="1183"/>
      <c r="AV1003" s="1183"/>
      <c r="AW1003" s="1183"/>
      <c r="AX1003" s="1183"/>
      <c r="AY1003" s="1183"/>
      <c r="AZ1003" s="3"/>
      <c r="BA1003" s="3"/>
      <c r="BB1003" s="3"/>
      <c r="BC1003" s="3"/>
    </row>
    <row r="1004" spans="1:55" ht="12.95" customHeight="1">
      <c r="A1004" s="13"/>
      <c r="B1004" s="1187"/>
      <c r="C1004" s="1188"/>
      <c r="D1004" s="1444" t="s">
        <v>1697</v>
      </c>
      <c r="E1004" s="1445"/>
      <c r="F1004" s="1445"/>
      <c r="G1004" s="1445"/>
      <c r="H1004" s="1445"/>
      <c r="I1004" s="1445"/>
      <c r="J1004" s="1445"/>
      <c r="K1004" s="1445"/>
      <c r="L1004" s="1445"/>
      <c r="M1004" s="1445"/>
      <c r="N1004" s="1445"/>
      <c r="O1004" s="1445"/>
      <c r="P1004" s="1445"/>
      <c r="Q1004" s="1445"/>
      <c r="R1004" s="1445"/>
      <c r="S1004" s="1445"/>
      <c r="T1004" s="1445"/>
      <c r="U1004" s="1445"/>
      <c r="V1004" s="1445"/>
      <c r="W1004" s="1445"/>
      <c r="X1004" s="1445"/>
      <c r="Y1004" s="1445"/>
      <c r="Z1004" s="1445"/>
      <c r="AA1004" s="1445"/>
      <c r="AB1004" s="1445"/>
      <c r="AC1004" s="1445"/>
      <c r="AD1004" s="1445"/>
      <c r="AE1004" s="1446"/>
      <c r="AF1004" s="58"/>
      <c r="AG1004" s="13"/>
      <c r="AH1004" s="13"/>
      <c r="AI1004" s="62"/>
      <c r="AJ1004" s="1261"/>
      <c r="AK1004" s="1262"/>
      <c r="AL1004" s="1262"/>
      <c r="AM1004" s="1262"/>
      <c r="AN1004" s="1262"/>
      <c r="AO1004" s="1262"/>
      <c r="AP1004" s="1262"/>
      <c r="AQ1004" s="1263"/>
      <c r="AR1004" s="1183"/>
      <c r="AS1004" s="1183"/>
      <c r="AT1004" s="1183"/>
      <c r="AU1004" s="1183"/>
      <c r="AV1004" s="1183"/>
      <c r="AW1004" s="1183"/>
      <c r="AX1004" s="1183"/>
      <c r="AY1004" s="1183"/>
      <c r="AZ1004" s="3"/>
      <c r="BA1004" s="3"/>
      <c r="BB1004" s="3"/>
      <c r="BC1004" s="3"/>
    </row>
    <row r="1005" spans="1:55" ht="12.95" customHeight="1">
      <c r="A1005" s="13"/>
      <c r="B1005" s="1187"/>
      <c r="C1005" s="1188"/>
      <c r="D1005" s="1444"/>
      <c r="E1005" s="1445"/>
      <c r="F1005" s="1445"/>
      <c r="G1005" s="1445"/>
      <c r="H1005" s="1445"/>
      <c r="I1005" s="1445"/>
      <c r="J1005" s="1445"/>
      <c r="K1005" s="1445"/>
      <c r="L1005" s="1445"/>
      <c r="M1005" s="1445"/>
      <c r="N1005" s="1445"/>
      <c r="O1005" s="1445"/>
      <c r="P1005" s="1445"/>
      <c r="Q1005" s="1445"/>
      <c r="R1005" s="1445"/>
      <c r="S1005" s="1445"/>
      <c r="T1005" s="1445"/>
      <c r="U1005" s="1445"/>
      <c r="V1005" s="1445"/>
      <c r="W1005" s="1445"/>
      <c r="X1005" s="1445"/>
      <c r="Y1005" s="1445"/>
      <c r="Z1005" s="1445"/>
      <c r="AA1005" s="1445"/>
      <c r="AB1005" s="1445"/>
      <c r="AC1005" s="1445"/>
      <c r="AD1005" s="1445"/>
      <c r="AE1005" s="1446"/>
      <c r="AF1005" s="58"/>
      <c r="AG1005" s="13"/>
      <c r="AH1005" s="13"/>
      <c r="AI1005" s="62"/>
      <c r="AJ1005" s="1261"/>
      <c r="AK1005" s="1262"/>
      <c r="AL1005" s="1262"/>
      <c r="AM1005" s="1262"/>
      <c r="AN1005" s="1262"/>
      <c r="AO1005" s="1262"/>
      <c r="AP1005" s="1262"/>
      <c r="AQ1005" s="1263"/>
      <c r="AR1005" s="1183"/>
      <c r="AS1005" s="1183"/>
      <c r="AT1005" s="1183"/>
      <c r="AU1005" s="1183"/>
      <c r="AV1005" s="1183"/>
      <c r="AW1005" s="1183"/>
      <c r="AX1005" s="1183"/>
      <c r="AY1005" s="1183"/>
      <c r="AZ1005" s="3"/>
      <c r="BA1005" s="3"/>
      <c r="BB1005" s="3"/>
      <c r="BC1005" s="3"/>
    </row>
    <row r="1006" spans="1:55" ht="12.95" customHeight="1">
      <c r="A1006" s="13"/>
      <c r="B1006" s="1187"/>
      <c r="C1006" s="1188"/>
      <c r="D1006" s="1444"/>
      <c r="E1006" s="1445"/>
      <c r="F1006" s="1445"/>
      <c r="G1006" s="1445"/>
      <c r="H1006" s="1445"/>
      <c r="I1006" s="1445"/>
      <c r="J1006" s="1445"/>
      <c r="K1006" s="1445"/>
      <c r="L1006" s="1445"/>
      <c r="M1006" s="1445"/>
      <c r="N1006" s="1445"/>
      <c r="O1006" s="1445"/>
      <c r="P1006" s="1445"/>
      <c r="Q1006" s="1445"/>
      <c r="R1006" s="1445"/>
      <c r="S1006" s="1445"/>
      <c r="T1006" s="1445"/>
      <c r="U1006" s="1445"/>
      <c r="V1006" s="1445"/>
      <c r="W1006" s="1445"/>
      <c r="X1006" s="1445"/>
      <c r="Y1006" s="1445"/>
      <c r="Z1006" s="1445"/>
      <c r="AA1006" s="1445"/>
      <c r="AB1006" s="1445"/>
      <c r="AC1006" s="1445"/>
      <c r="AD1006" s="1445"/>
      <c r="AE1006" s="1446"/>
      <c r="AF1006" s="58"/>
      <c r="AG1006" s="13"/>
      <c r="AH1006" s="13"/>
      <c r="AI1006" s="62"/>
      <c r="AJ1006" s="1261"/>
      <c r="AK1006" s="1262"/>
      <c r="AL1006" s="1262"/>
      <c r="AM1006" s="1262"/>
      <c r="AN1006" s="1262"/>
      <c r="AO1006" s="1262"/>
      <c r="AP1006" s="1262"/>
      <c r="AQ1006" s="1263"/>
      <c r="AR1006" s="1183"/>
      <c r="AS1006" s="1183"/>
      <c r="AT1006" s="1183"/>
      <c r="AU1006" s="1183"/>
      <c r="AV1006" s="1183"/>
      <c r="AW1006" s="1183"/>
      <c r="AX1006" s="1183"/>
      <c r="AY1006" s="1183"/>
      <c r="AZ1006" s="3"/>
      <c r="BA1006" s="3"/>
      <c r="BB1006" s="3"/>
      <c r="BC1006" s="3"/>
    </row>
    <row r="1007" spans="1:55" ht="12.95" customHeight="1">
      <c r="A1007" s="13"/>
      <c r="B1007" s="1187"/>
      <c r="C1007" s="1188"/>
      <c r="D1007" s="1444"/>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58"/>
      <c r="AG1007" s="13"/>
      <c r="AH1007" s="13"/>
      <c r="AI1007" s="62"/>
      <c r="AJ1007" s="1261"/>
      <c r="AK1007" s="1262"/>
      <c r="AL1007" s="1262"/>
      <c r="AM1007" s="1262"/>
      <c r="AN1007" s="1262"/>
      <c r="AO1007" s="1262"/>
      <c r="AP1007" s="1262"/>
      <c r="AQ1007" s="1263"/>
      <c r="AR1007" s="1183"/>
      <c r="AS1007" s="1183"/>
      <c r="AT1007" s="1183"/>
      <c r="AU1007" s="1183"/>
      <c r="AV1007" s="1183"/>
      <c r="AW1007" s="1183"/>
      <c r="AX1007" s="1183"/>
      <c r="AY1007" s="1183"/>
      <c r="AZ1007" s="3"/>
      <c r="BA1007" s="3"/>
      <c r="BB1007" s="3"/>
      <c r="BC1007" s="3"/>
    </row>
    <row r="1008" spans="1:55" ht="12.95" customHeight="1">
      <c r="A1008" s="13"/>
      <c r="B1008" s="1187"/>
      <c r="C1008" s="1188"/>
      <c r="D1008" s="1447" t="s">
        <v>1698</v>
      </c>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58"/>
      <c r="AG1008" s="13"/>
      <c r="AH1008" s="13"/>
      <c r="AI1008" s="62"/>
      <c r="AJ1008" s="1261"/>
      <c r="AK1008" s="1262"/>
      <c r="AL1008" s="1262"/>
      <c r="AM1008" s="1262"/>
      <c r="AN1008" s="1262"/>
      <c r="AO1008" s="1262"/>
      <c r="AP1008" s="1262"/>
      <c r="AQ1008" s="1263"/>
      <c r="AR1008" s="1183"/>
      <c r="AS1008" s="1183"/>
      <c r="AT1008" s="1183"/>
      <c r="AU1008" s="1183"/>
      <c r="AV1008" s="1183"/>
      <c r="AW1008" s="1183"/>
      <c r="AX1008" s="1183"/>
      <c r="AY1008" s="1183"/>
      <c r="AZ1008" s="3"/>
      <c r="BA1008" s="3"/>
      <c r="BB1008" s="3"/>
      <c r="BC1008" s="3"/>
    </row>
    <row r="1009" spans="1:55" ht="12.95" customHeight="1">
      <c r="A1009" s="13"/>
      <c r="B1009" s="1187"/>
      <c r="C1009" s="1188"/>
      <c r="D1009" s="1441" t="s">
        <v>1699</v>
      </c>
      <c r="E1009" s="1442"/>
      <c r="F1009" s="1442"/>
      <c r="G1009" s="1442"/>
      <c r="H1009" s="1442"/>
      <c r="I1009" s="1442"/>
      <c r="J1009" s="1442"/>
      <c r="K1009" s="1442"/>
      <c r="L1009" s="1442"/>
      <c r="M1009" s="1442"/>
      <c r="N1009" s="1442"/>
      <c r="O1009" s="1442"/>
      <c r="P1009" s="1442"/>
      <c r="Q1009" s="1442"/>
      <c r="R1009" s="1442"/>
      <c r="S1009" s="1442"/>
      <c r="T1009" s="1442"/>
      <c r="U1009" s="1442"/>
      <c r="V1009" s="1442"/>
      <c r="W1009" s="1442"/>
      <c r="X1009" s="1442"/>
      <c r="Y1009" s="1442"/>
      <c r="Z1009" s="1442"/>
      <c r="AA1009" s="1442"/>
      <c r="AB1009" s="1442"/>
      <c r="AC1009" s="1442"/>
      <c r="AD1009" s="1442"/>
      <c r="AE1009" s="1443"/>
      <c r="AF1009" s="59"/>
      <c r="AG1009" s="6"/>
      <c r="AH1009" s="6"/>
      <c r="AI1009" s="60"/>
      <c r="AJ1009" s="1264"/>
      <c r="AK1009" s="1265"/>
      <c r="AL1009" s="1265"/>
      <c r="AM1009" s="1265"/>
      <c r="AN1009" s="1265"/>
      <c r="AO1009" s="1265"/>
      <c r="AP1009" s="1265"/>
      <c r="AQ1009" s="1266"/>
      <c r="AR1009" s="1183"/>
      <c r="AS1009" s="1183"/>
      <c r="AT1009" s="1183"/>
      <c r="AU1009" s="1183"/>
      <c r="AV1009" s="1183"/>
      <c r="AW1009" s="1183"/>
      <c r="AX1009" s="1183"/>
      <c r="AY1009" s="1183"/>
      <c r="AZ1009" s="3"/>
      <c r="BA1009" s="3"/>
      <c r="BB1009" s="3"/>
      <c r="BC1009" s="3"/>
    </row>
    <row r="1010" spans="1:55" ht="12.95" customHeight="1">
      <c r="A1010" s="13"/>
      <c r="B1010" s="1189"/>
      <c r="C1010" s="1190"/>
      <c r="D1010" s="1450" t="s">
        <v>1700</v>
      </c>
      <c r="E1010" s="1451"/>
      <c r="F1010" s="1451"/>
      <c r="G1010" s="1451"/>
      <c r="H1010" s="1451"/>
      <c r="I1010" s="1451"/>
      <c r="J1010" s="1451"/>
      <c r="K1010" s="1451"/>
      <c r="L1010" s="1451"/>
      <c r="M1010" s="1451"/>
      <c r="N1010" s="1451"/>
      <c r="O1010" s="1451"/>
      <c r="P1010" s="1451"/>
      <c r="Q1010" s="1451"/>
      <c r="R1010" s="1451"/>
      <c r="S1010" s="1451"/>
      <c r="T1010" s="1451"/>
      <c r="U1010" s="1451"/>
      <c r="V1010" s="1451"/>
      <c r="W1010" s="1451"/>
      <c r="X1010" s="1451"/>
      <c r="Y1010" s="1451"/>
      <c r="Z1010" s="1451"/>
      <c r="AA1010" s="1451"/>
      <c r="AB1010" s="1451"/>
      <c r="AC1010" s="1451"/>
      <c r="AD1010" s="1451"/>
      <c r="AE1010" s="1452"/>
      <c r="AF1010" s="61"/>
      <c r="AG1010" s="1467" t="s">
        <v>701</v>
      </c>
      <c r="AH1010" s="1468"/>
      <c r="AI1010" s="64"/>
      <c r="AJ1010" s="1258">
        <f>ROUND(IF(AG1010="yes",AJ1001*0.05,0),0)</f>
        <v>0</v>
      </c>
      <c r="AK1010" s="1259"/>
      <c r="AL1010" s="1259"/>
      <c r="AM1010" s="1259"/>
      <c r="AN1010" s="1259"/>
      <c r="AO1010" s="1259"/>
      <c r="AP1010" s="1259"/>
      <c r="AQ1010" s="1260"/>
      <c r="AR1010" s="1183"/>
      <c r="AS1010" s="1183"/>
      <c r="AT1010" s="1183"/>
      <c r="AU1010" s="1183"/>
      <c r="AV1010" s="1183"/>
      <c r="AW1010" s="1183"/>
      <c r="AX1010" s="1183"/>
      <c r="AY1010" s="1183"/>
      <c r="AZ1010" s="3"/>
      <c r="BA1010" s="3"/>
      <c r="BB1010" s="3"/>
      <c r="BC1010" s="3"/>
    </row>
    <row r="1011" spans="1:55" ht="12.95" customHeight="1">
      <c r="A1011" s="13"/>
      <c r="B1011" s="1187"/>
      <c r="C1011" s="1191"/>
      <c r="D1011" s="1444" t="s">
        <v>1701</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58"/>
      <c r="AG1011" s="13"/>
      <c r="AH1011" s="13"/>
      <c r="AI1011" s="62"/>
      <c r="AJ1011" s="1261"/>
      <c r="AK1011" s="1262"/>
      <c r="AL1011" s="1262"/>
      <c r="AM1011" s="1262"/>
      <c r="AN1011" s="1262"/>
      <c r="AO1011" s="1262"/>
      <c r="AP1011" s="1262"/>
      <c r="AQ1011" s="1263"/>
      <c r="AR1011" s="1183"/>
      <c r="AS1011" s="1183"/>
      <c r="AT1011" s="1183"/>
      <c r="AU1011" s="1183"/>
      <c r="AV1011" s="1183"/>
      <c r="AW1011" s="1183"/>
      <c r="AX1011" s="1183"/>
      <c r="AY1011" s="3"/>
      <c r="AZ1011" s="3"/>
      <c r="BB1011" s="3"/>
    </row>
    <row r="1012" spans="1:55" ht="12.95" customHeight="1">
      <c r="A1012" s="13"/>
      <c r="B1012" s="1187"/>
      <c r="C1012" s="1191"/>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58"/>
      <c r="AG1012" s="13"/>
      <c r="AH1012" s="13"/>
      <c r="AI1012" s="62"/>
      <c r="AJ1012" s="1261"/>
      <c r="AK1012" s="1262"/>
      <c r="AL1012" s="1262"/>
      <c r="AM1012" s="1262"/>
      <c r="AN1012" s="1262"/>
      <c r="AO1012" s="1262"/>
      <c r="AP1012" s="1262"/>
      <c r="AQ1012" s="1263"/>
      <c r="AR1012" s="1183"/>
      <c r="AS1012" s="1183"/>
      <c r="AT1012" s="1183"/>
      <c r="AU1012" s="1183"/>
      <c r="AV1012" s="1183"/>
      <c r="AW1012" s="1183"/>
      <c r="AX1012" s="1183"/>
      <c r="AY1012" s="806">
        <f>G761+O805</f>
        <v>99</v>
      </c>
      <c r="AZ1012" s="3"/>
      <c r="BB1012" s="3"/>
    </row>
    <row r="1013" spans="1:55" ht="12.95" customHeight="1">
      <c r="A1013" s="13"/>
      <c r="B1013" s="1187"/>
      <c r="C1013" s="1191"/>
      <c r="D1013" s="1444"/>
      <c r="E1013" s="1445"/>
      <c r="F1013" s="1445"/>
      <c r="G1013" s="1445"/>
      <c r="H1013" s="1445"/>
      <c r="I1013" s="1445"/>
      <c r="J1013" s="1445"/>
      <c r="K1013" s="1445"/>
      <c r="L1013" s="1445"/>
      <c r="M1013" s="1445"/>
      <c r="N1013" s="1445"/>
      <c r="O1013" s="1445"/>
      <c r="P1013" s="1445"/>
      <c r="Q1013" s="1445"/>
      <c r="R1013" s="1445"/>
      <c r="S1013" s="1445"/>
      <c r="T1013" s="1445"/>
      <c r="U1013" s="1445"/>
      <c r="V1013" s="1445"/>
      <c r="W1013" s="1445"/>
      <c r="X1013" s="1445"/>
      <c r="Y1013" s="1445"/>
      <c r="Z1013" s="1445"/>
      <c r="AA1013" s="1445"/>
      <c r="AB1013" s="1445"/>
      <c r="AC1013" s="1445"/>
      <c r="AD1013" s="1445"/>
      <c r="AE1013" s="1446"/>
      <c r="AF1013" s="58"/>
      <c r="AG1013" s="13"/>
      <c r="AH1013" s="13"/>
      <c r="AI1013" s="62"/>
      <c r="AJ1013" s="1261"/>
      <c r="AK1013" s="1262"/>
      <c r="AL1013" s="1262"/>
      <c r="AM1013" s="1262"/>
      <c r="AN1013" s="1262"/>
      <c r="AO1013" s="1262"/>
      <c r="AP1013" s="1262"/>
      <c r="AQ1013" s="1263"/>
      <c r="AR1013" s="1183"/>
      <c r="AS1013" s="1183"/>
      <c r="AT1013" s="1183"/>
      <c r="AU1013" s="1183"/>
      <c r="AV1013" s="1183"/>
      <c r="AW1013" s="1183"/>
      <c r="AX1013" s="1183"/>
      <c r="AY1013" s="13"/>
      <c r="AZ1013" s="3"/>
      <c r="BB1013" s="3"/>
    </row>
    <row r="1014" spans="1:55" ht="12.95" customHeight="1">
      <c r="A1014" s="13"/>
      <c r="B1014" s="1187"/>
      <c r="C1014" s="1191"/>
      <c r="D1014" s="1444"/>
      <c r="E1014" s="1445"/>
      <c r="F1014" s="1445"/>
      <c r="G1014" s="1445"/>
      <c r="H1014" s="1445"/>
      <c r="I1014" s="1445"/>
      <c r="J1014" s="1445"/>
      <c r="K1014" s="1445"/>
      <c r="L1014" s="1445"/>
      <c r="M1014" s="1445"/>
      <c r="N1014" s="1445"/>
      <c r="O1014" s="1445"/>
      <c r="P1014" s="1445"/>
      <c r="Q1014" s="1445"/>
      <c r="R1014" s="1445"/>
      <c r="S1014" s="1445"/>
      <c r="T1014" s="1445"/>
      <c r="U1014" s="1445"/>
      <c r="V1014" s="1445"/>
      <c r="W1014" s="1445"/>
      <c r="X1014" s="1445"/>
      <c r="Y1014" s="1445"/>
      <c r="Z1014" s="1445"/>
      <c r="AA1014" s="1445"/>
      <c r="AB1014" s="1445"/>
      <c r="AC1014" s="1445"/>
      <c r="AD1014" s="1445"/>
      <c r="AE1014" s="1446"/>
      <c r="AF1014" s="58"/>
      <c r="AG1014" s="13"/>
      <c r="AH1014" s="13"/>
      <c r="AI1014" s="62"/>
      <c r="AJ1014" s="1261"/>
      <c r="AK1014" s="1262"/>
      <c r="AL1014" s="1262"/>
      <c r="AM1014" s="1262"/>
      <c r="AN1014" s="1262"/>
      <c r="AO1014" s="1262"/>
      <c r="AP1014" s="1262"/>
      <c r="AQ1014" s="1263"/>
      <c r="AR1014" s="1183"/>
      <c r="AS1014" s="1183"/>
      <c r="AT1014" s="1183"/>
      <c r="AU1014" s="1183"/>
      <c r="AV1014" s="1183"/>
      <c r="AW1014" s="1183"/>
      <c r="AX1014" s="1183"/>
      <c r="AY1014" s="805">
        <f>ROUNDDOWN(X1057/I1057,2)</f>
        <v>0.24</v>
      </c>
      <c r="AZ1014" s="3"/>
      <c r="BB1014" s="3"/>
    </row>
    <row r="1015" spans="1:55" ht="12.95" customHeight="1">
      <c r="A1015" s="13"/>
      <c r="B1015" s="1192"/>
      <c r="C1015" s="1193"/>
      <c r="D1015" s="1447"/>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59"/>
      <c r="AG1015" s="6"/>
      <c r="AH1015" s="6"/>
      <c r="AI1015" s="60"/>
      <c r="AJ1015" s="1264"/>
      <c r="AK1015" s="1265"/>
      <c r="AL1015" s="1265"/>
      <c r="AM1015" s="1265"/>
      <c r="AN1015" s="1265"/>
      <c r="AO1015" s="1265"/>
      <c r="AP1015" s="1265"/>
      <c r="AQ1015" s="1266"/>
      <c r="AR1015" s="1183"/>
      <c r="AS1015" s="1183"/>
      <c r="AT1015" s="1183"/>
      <c r="AU1015" s="1183"/>
      <c r="AV1015" s="1183"/>
      <c r="AW1015" s="1183"/>
      <c r="AX1015" s="1183"/>
      <c r="AY1015" s="805">
        <f>ROUNDDOWN(X1061/I1061,2)</f>
        <v>0.51</v>
      </c>
      <c r="AZ1015" s="3"/>
      <c r="BB1015" s="3"/>
    </row>
    <row r="1016" spans="1:55" ht="12.95" customHeight="1">
      <c r="A1016" s="13"/>
      <c r="B1016" s="1189"/>
      <c r="C1016" s="242" t="s">
        <v>1702</v>
      </c>
      <c r="D1016" s="1450" t="s">
        <v>1703</v>
      </c>
      <c r="E1016" s="1451"/>
      <c r="F1016" s="1451"/>
      <c r="G1016" s="1451"/>
      <c r="H1016" s="1451"/>
      <c r="I1016" s="1451"/>
      <c r="J1016" s="1451"/>
      <c r="K1016" s="1451"/>
      <c r="L1016" s="1451"/>
      <c r="M1016" s="1451"/>
      <c r="N1016" s="1451"/>
      <c r="O1016" s="1451"/>
      <c r="P1016" s="1451"/>
      <c r="Q1016" s="1451"/>
      <c r="R1016" s="1451"/>
      <c r="S1016" s="1451"/>
      <c r="T1016" s="1451"/>
      <c r="U1016" s="1451"/>
      <c r="V1016" s="1451"/>
      <c r="W1016" s="1451"/>
      <c r="X1016" s="1451"/>
      <c r="Y1016" s="1451"/>
      <c r="Z1016" s="1451"/>
      <c r="AA1016" s="1451"/>
      <c r="AB1016" s="1451"/>
      <c r="AC1016" s="1451"/>
      <c r="AD1016" s="1451"/>
      <c r="AE1016" s="1452"/>
      <c r="AF1016" s="63"/>
      <c r="AG1016" s="1467" t="s">
        <v>701</v>
      </c>
      <c r="AH1016" s="1468"/>
      <c r="AI1016" s="64"/>
      <c r="AJ1016" s="1258">
        <f>ROUND(IF(AG1016="yes",AJ1001*0.1,0),0)</f>
        <v>0</v>
      </c>
      <c r="AK1016" s="1259"/>
      <c r="AL1016" s="1259"/>
      <c r="AM1016" s="1259"/>
      <c r="AN1016" s="1259"/>
      <c r="AO1016" s="1259"/>
      <c r="AP1016" s="1259"/>
      <c r="AQ1016" s="1260"/>
      <c r="AR1016" s="1183"/>
      <c r="AS1016" s="1183"/>
      <c r="AT1016" s="1183"/>
      <c r="AU1016" s="1183"/>
      <c r="AV1016" s="1183"/>
      <c r="AW1016" s="1183"/>
      <c r="AX1016" s="1183"/>
      <c r="BB1016" s="3"/>
    </row>
    <row r="1017" spans="1:55" ht="12.95" customHeight="1">
      <c r="A1017" s="13"/>
      <c r="B1017" s="58"/>
      <c r="C1017" s="1194"/>
      <c r="D1017" s="1460" t="s">
        <v>1704</v>
      </c>
      <c r="E1017" s="1461"/>
      <c r="F1017" s="1461"/>
      <c r="G1017" s="1461"/>
      <c r="H1017" s="1461"/>
      <c r="I1017" s="1461"/>
      <c r="J1017" s="1461"/>
      <c r="K1017" s="1461"/>
      <c r="L1017" s="1461"/>
      <c r="M1017" s="1461"/>
      <c r="N1017" s="1461"/>
      <c r="O1017" s="1461"/>
      <c r="P1017" s="1461"/>
      <c r="Q1017" s="1461"/>
      <c r="R1017" s="1461"/>
      <c r="S1017" s="1461"/>
      <c r="T1017" s="1461"/>
      <c r="U1017" s="1461"/>
      <c r="V1017" s="1461"/>
      <c r="W1017" s="1461"/>
      <c r="X1017" s="1461"/>
      <c r="Y1017" s="1461"/>
      <c r="Z1017" s="1461"/>
      <c r="AA1017" s="1461"/>
      <c r="AB1017" s="1461"/>
      <c r="AC1017" s="1461"/>
      <c r="AD1017" s="1461"/>
      <c r="AE1017" s="1462"/>
      <c r="AF1017" s="58"/>
      <c r="AI1017" s="62"/>
      <c r="AJ1017" s="1261"/>
      <c r="AK1017" s="1262"/>
      <c r="AL1017" s="1262"/>
      <c r="AM1017" s="1262"/>
      <c r="AN1017" s="1262"/>
      <c r="AO1017" s="1262"/>
      <c r="AP1017" s="1262"/>
      <c r="AQ1017" s="1263"/>
      <c r="AR1017" s="1183"/>
      <c r="AS1017" s="1183"/>
      <c r="AT1017" s="1183"/>
      <c r="AU1017" s="1183"/>
      <c r="AV1017" s="1183"/>
      <c r="AW1017" s="1183"/>
      <c r="AX1017" s="1183"/>
    </row>
    <row r="1018" spans="1:55" ht="12.95" customHeight="1">
      <c r="A1018" s="13"/>
      <c r="B1018" s="58"/>
      <c r="C1018" s="1194"/>
      <c r="D1018" s="1460"/>
      <c r="E1018" s="1461"/>
      <c r="F1018" s="1461"/>
      <c r="G1018" s="1461"/>
      <c r="H1018" s="1461"/>
      <c r="I1018" s="1461"/>
      <c r="J1018" s="1461"/>
      <c r="K1018" s="1461"/>
      <c r="L1018" s="1461"/>
      <c r="M1018" s="1461"/>
      <c r="N1018" s="1461"/>
      <c r="O1018" s="1461"/>
      <c r="P1018" s="1461"/>
      <c r="Q1018" s="1461"/>
      <c r="R1018" s="1461"/>
      <c r="S1018" s="1461"/>
      <c r="T1018" s="1461"/>
      <c r="U1018" s="1461"/>
      <c r="V1018" s="1461"/>
      <c r="W1018" s="1461"/>
      <c r="X1018" s="1461"/>
      <c r="Y1018" s="1461"/>
      <c r="Z1018" s="1461"/>
      <c r="AA1018" s="1461"/>
      <c r="AB1018" s="1461"/>
      <c r="AC1018" s="1461"/>
      <c r="AD1018" s="1461"/>
      <c r="AE1018" s="1462"/>
      <c r="AF1018" s="58"/>
      <c r="AG1018" s="13"/>
      <c r="AH1018" s="13"/>
      <c r="AI1018" s="62"/>
      <c r="AJ1018" s="1261"/>
      <c r="AK1018" s="1262"/>
      <c r="AL1018" s="1262"/>
      <c r="AM1018" s="1262"/>
      <c r="AN1018" s="1262"/>
      <c r="AO1018" s="1262"/>
      <c r="AP1018" s="1262"/>
      <c r="AQ1018" s="1263"/>
      <c r="AR1018" s="1183"/>
      <c r="AS1018" s="1183"/>
      <c r="AT1018" s="1183"/>
      <c r="AU1018" s="1183"/>
      <c r="AV1018" s="1183"/>
      <c r="AW1018" s="1183"/>
      <c r="AX1018" s="1183"/>
    </row>
    <row r="1019" spans="1:55" ht="12.95" customHeight="1">
      <c r="A1019" s="13"/>
      <c r="B1019" s="1195"/>
      <c r="C1019" s="1193"/>
      <c r="D1019" s="1453"/>
      <c r="E1019" s="1454"/>
      <c r="F1019" s="1454"/>
      <c r="G1019" s="1454"/>
      <c r="H1019" s="1454"/>
      <c r="I1019" s="1454"/>
      <c r="J1019" s="1454"/>
      <c r="K1019" s="1454"/>
      <c r="L1019" s="1454"/>
      <c r="M1019" s="1454"/>
      <c r="N1019" s="1454"/>
      <c r="O1019" s="1454"/>
      <c r="P1019" s="1454"/>
      <c r="Q1019" s="1454"/>
      <c r="R1019" s="1454"/>
      <c r="S1019" s="1454"/>
      <c r="T1019" s="1454"/>
      <c r="U1019" s="1454"/>
      <c r="V1019" s="1454"/>
      <c r="W1019" s="1454"/>
      <c r="X1019" s="1454"/>
      <c r="Y1019" s="1454"/>
      <c r="Z1019" s="1454"/>
      <c r="AA1019" s="1454"/>
      <c r="AB1019" s="1454"/>
      <c r="AC1019" s="1454"/>
      <c r="AD1019" s="1454"/>
      <c r="AE1019" s="1455"/>
      <c r="AF1019" s="59"/>
      <c r="AG1019" s="6"/>
      <c r="AH1019" s="6"/>
      <c r="AI1019" s="60"/>
      <c r="AJ1019" s="1264"/>
      <c r="AK1019" s="1265"/>
      <c r="AL1019" s="1265"/>
      <c r="AM1019" s="1265"/>
      <c r="AN1019" s="1265"/>
      <c r="AO1019" s="1265"/>
      <c r="AP1019" s="1265"/>
      <c r="AQ1019" s="1266"/>
      <c r="AR1019" s="1183"/>
      <c r="AS1019" s="1183"/>
      <c r="AT1019" s="1183"/>
      <c r="AU1019" s="1183"/>
      <c r="AV1019" s="1183"/>
      <c r="AW1019" s="1183"/>
      <c r="AX1019" s="1183"/>
    </row>
    <row r="1020" spans="1:55" ht="12.95" customHeight="1">
      <c r="A1020" s="13"/>
      <c r="B1020" s="61"/>
      <c r="C1020" s="242" t="s">
        <v>1705</v>
      </c>
      <c r="D1020" s="1450" t="s">
        <v>1706</v>
      </c>
      <c r="E1020" s="1451"/>
      <c r="F1020" s="1451"/>
      <c r="G1020" s="1451"/>
      <c r="H1020" s="1451"/>
      <c r="I1020" s="1451"/>
      <c r="J1020" s="1451"/>
      <c r="K1020" s="1451"/>
      <c r="L1020" s="1451"/>
      <c r="M1020" s="1451"/>
      <c r="N1020" s="1451"/>
      <c r="O1020" s="1451"/>
      <c r="P1020" s="1451"/>
      <c r="Q1020" s="1451"/>
      <c r="R1020" s="1451"/>
      <c r="S1020" s="1451"/>
      <c r="T1020" s="1451"/>
      <c r="U1020" s="1451"/>
      <c r="V1020" s="1451"/>
      <c r="W1020" s="1451"/>
      <c r="X1020" s="1451"/>
      <c r="Y1020" s="1451"/>
      <c r="Z1020" s="1451"/>
      <c r="AA1020" s="1451"/>
      <c r="AB1020" s="1451"/>
      <c r="AC1020" s="1451"/>
      <c r="AD1020" s="1451"/>
      <c r="AE1020" s="1452"/>
      <c r="AF1020" s="61"/>
      <c r="AG1020" s="1467" t="s">
        <v>701</v>
      </c>
      <c r="AH1020" s="1468"/>
      <c r="AI1020" s="64"/>
      <c r="AJ1020" s="1258">
        <f>ROUND(IF(AG1020="yes",AJ1001*0.02,0),0)</f>
        <v>0</v>
      </c>
      <c r="AK1020" s="1259"/>
      <c r="AL1020" s="1259"/>
      <c r="AM1020" s="1259"/>
      <c r="AN1020" s="1259"/>
      <c r="AO1020" s="1259"/>
      <c r="AP1020" s="1259"/>
      <c r="AQ1020" s="1260"/>
      <c r="AR1020" s="1183"/>
      <c r="AS1020" s="1183"/>
      <c r="AT1020" s="1183"/>
      <c r="AU1020" s="1183"/>
      <c r="AV1020" s="1183"/>
      <c r="AW1020" s="1183"/>
      <c r="AX1020" s="1183"/>
    </row>
    <row r="1021" spans="1:55" ht="14.25" customHeight="1">
      <c r="A1021" s="13"/>
      <c r="B1021" s="58"/>
      <c r="C1021" s="1194"/>
      <c r="D1021" s="1453" t="s">
        <v>1707</v>
      </c>
      <c r="E1021" s="1454"/>
      <c r="F1021" s="1454"/>
      <c r="G1021" s="1454"/>
      <c r="H1021" s="1454"/>
      <c r="I1021" s="1454"/>
      <c r="J1021" s="1454"/>
      <c r="K1021" s="1454"/>
      <c r="L1021" s="1454"/>
      <c r="M1021" s="1454"/>
      <c r="N1021" s="1454"/>
      <c r="O1021" s="1454"/>
      <c r="P1021" s="1454"/>
      <c r="Q1021" s="1454"/>
      <c r="R1021" s="1454"/>
      <c r="S1021" s="1454"/>
      <c r="T1021" s="1454"/>
      <c r="U1021" s="1454"/>
      <c r="V1021" s="1454"/>
      <c r="W1021" s="1454"/>
      <c r="X1021" s="1454"/>
      <c r="Y1021" s="1454"/>
      <c r="Z1021" s="1454"/>
      <c r="AA1021" s="1454"/>
      <c r="AB1021" s="1454"/>
      <c r="AC1021" s="1454"/>
      <c r="AD1021" s="1454"/>
      <c r="AE1021" s="1455"/>
      <c r="AF1021" s="59"/>
      <c r="AG1021" s="6"/>
      <c r="AH1021" s="6"/>
      <c r="AI1021" s="60"/>
      <c r="AJ1021" s="1264"/>
      <c r="AK1021" s="1265"/>
      <c r="AL1021" s="1265"/>
      <c r="AM1021" s="1265"/>
      <c r="AN1021" s="1265"/>
      <c r="AO1021" s="1265"/>
      <c r="AP1021" s="1265"/>
      <c r="AQ1021" s="1266"/>
      <c r="AR1021" s="1183"/>
      <c r="AS1021" s="1183"/>
      <c r="AT1021" s="1183"/>
      <c r="AU1021" s="1183"/>
      <c r="AV1021" s="1183"/>
      <c r="AW1021" s="1183"/>
      <c r="AX1021" s="3" t="s">
        <v>1708</v>
      </c>
      <c r="AZ1021" s="3" t="s">
        <v>1709</v>
      </c>
    </row>
    <row r="1022" spans="1:55" ht="12.95" customHeight="1">
      <c r="A1022" s="13"/>
      <c r="B1022" s="61"/>
      <c r="C1022" s="242" t="s">
        <v>1710</v>
      </c>
      <c r="D1022" s="1450" t="s">
        <v>1711</v>
      </c>
      <c r="E1022" s="1451"/>
      <c r="F1022" s="1451"/>
      <c r="G1022" s="1451"/>
      <c r="H1022" s="1451"/>
      <c r="I1022" s="1451"/>
      <c r="J1022" s="1451"/>
      <c r="K1022" s="1451"/>
      <c r="L1022" s="1451"/>
      <c r="M1022" s="1451"/>
      <c r="N1022" s="1451"/>
      <c r="O1022" s="1451"/>
      <c r="P1022" s="1451"/>
      <c r="Q1022" s="1451"/>
      <c r="R1022" s="1451"/>
      <c r="S1022" s="1451"/>
      <c r="T1022" s="1451"/>
      <c r="U1022" s="1451"/>
      <c r="V1022" s="1451"/>
      <c r="W1022" s="1451"/>
      <c r="X1022" s="1451"/>
      <c r="Y1022" s="1451"/>
      <c r="Z1022" s="1451"/>
      <c r="AA1022" s="1451"/>
      <c r="AB1022" s="1451"/>
      <c r="AC1022" s="1451"/>
      <c r="AD1022" s="1451"/>
      <c r="AE1022" s="1452"/>
      <c r="AF1022" s="61"/>
      <c r="AG1022" s="1467" t="s">
        <v>701</v>
      </c>
      <c r="AH1022" s="1468"/>
      <c r="AI1022" s="61"/>
      <c r="AJ1022" s="1258">
        <f>ROUND(IF(AG1022="yes",AJ1001*0.02,0),0)</f>
        <v>0</v>
      </c>
      <c r="AK1022" s="1259"/>
      <c r="AL1022" s="1259"/>
      <c r="AM1022" s="1259"/>
      <c r="AN1022" s="1259"/>
      <c r="AO1022" s="1259"/>
      <c r="AP1022" s="1259"/>
      <c r="AQ1022" s="1260"/>
      <c r="AR1022" s="1183"/>
      <c r="AS1022" s="1183"/>
      <c r="AT1022" s="1183"/>
      <c r="AU1022" s="1183"/>
      <c r="AV1022" s="1183"/>
      <c r="AW1022" s="1183"/>
      <c r="AX1022" s="3">
        <v>1</v>
      </c>
      <c r="AY1022" s="1196">
        <f>IF((_xlfn.XLOOKUP(AX1022,$C$1074:$C$1112,$A$1074:$A$1112,"",0,1))="Yes",AZ1022,0)</f>
        <v>0.2</v>
      </c>
      <c r="AZ1022" s="1078">
        <v>0.2</v>
      </c>
    </row>
    <row r="1023" spans="1:55" ht="12.95" customHeight="1">
      <c r="A1023" s="13"/>
      <c r="B1023" s="58"/>
      <c r="C1023" s="1194"/>
      <c r="D1023" s="1460" t="s">
        <v>1712</v>
      </c>
      <c r="E1023" s="1461"/>
      <c r="F1023" s="1461"/>
      <c r="G1023" s="1461"/>
      <c r="H1023" s="1461"/>
      <c r="I1023" s="1461"/>
      <c r="J1023" s="1461"/>
      <c r="K1023" s="1461"/>
      <c r="L1023" s="1461"/>
      <c r="M1023" s="1461"/>
      <c r="N1023" s="1461"/>
      <c r="O1023" s="1461"/>
      <c r="P1023" s="1461"/>
      <c r="Q1023" s="1461"/>
      <c r="R1023" s="1461"/>
      <c r="S1023" s="1461"/>
      <c r="T1023" s="1461"/>
      <c r="U1023" s="1461"/>
      <c r="V1023" s="1461"/>
      <c r="W1023" s="1461"/>
      <c r="X1023" s="1461"/>
      <c r="Y1023" s="1461"/>
      <c r="Z1023" s="1461"/>
      <c r="AA1023" s="1461"/>
      <c r="AB1023" s="1461"/>
      <c r="AC1023" s="1461"/>
      <c r="AD1023" s="1461"/>
      <c r="AE1023" s="1462"/>
      <c r="AF1023" s="1242" t="str">
        <f>IF(AND(AG1022="yes",T212&lt;&gt;1),"The project may not be eligible for this boost","")</f>
        <v/>
      </c>
      <c r="AG1023" s="1243"/>
      <c r="AH1023" s="1243"/>
      <c r="AI1023" s="1244"/>
      <c r="AJ1023" s="1261"/>
      <c r="AK1023" s="1262"/>
      <c r="AL1023" s="1262"/>
      <c r="AM1023" s="1262"/>
      <c r="AN1023" s="1262"/>
      <c r="AO1023" s="1262"/>
      <c r="AP1023" s="1262"/>
      <c r="AQ1023" s="1263"/>
      <c r="AR1023" s="1183"/>
      <c r="AS1023" s="1183"/>
      <c r="AT1023" s="1183"/>
      <c r="AU1023" s="1183"/>
      <c r="AV1023" s="1183"/>
      <c r="AW1023" s="1183"/>
      <c r="AX1023" s="3">
        <v>2</v>
      </c>
      <c r="AY1023" s="1196">
        <f t="shared" ref="AY1023:AY1032" si="55">IF((_xlfn.XLOOKUP(AX1023,$C$1074:$C$1112,$A$1074:$A$1112,"",0,1))="Yes",AZ1023,0)</f>
        <v>0</v>
      </c>
      <c r="AZ1023" s="1078">
        <v>0.15</v>
      </c>
    </row>
    <row r="1024" spans="1:55" ht="12.95" customHeight="1">
      <c r="A1024" s="13"/>
      <c r="B1024" s="1192"/>
      <c r="C1024" s="1193"/>
      <c r="D1024" s="1453"/>
      <c r="E1024" s="1454"/>
      <c r="F1024" s="1454"/>
      <c r="G1024" s="1454"/>
      <c r="H1024" s="1454"/>
      <c r="I1024" s="1454"/>
      <c r="J1024" s="1454"/>
      <c r="K1024" s="1454"/>
      <c r="L1024" s="1454"/>
      <c r="M1024" s="1454"/>
      <c r="N1024" s="1454"/>
      <c r="O1024" s="1454"/>
      <c r="P1024" s="1454"/>
      <c r="Q1024" s="1454"/>
      <c r="R1024" s="1454"/>
      <c r="S1024" s="1454"/>
      <c r="T1024" s="1454"/>
      <c r="U1024" s="1454"/>
      <c r="V1024" s="1454"/>
      <c r="W1024" s="1454"/>
      <c r="X1024" s="1454"/>
      <c r="Y1024" s="1454"/>
      <c r="Z1024" s="1454"/>
      <c r="AA1024" s="1454"/>
      <c r="AB1024" s="1454"/>
      <c r="AC1024" s="1454"/>
      <c r="AD1024" s="1454"/>
      <c r="AE1024" s="1455"/>
      <c r="AF1024" s="1245"/>
      <c r="AG1024" s="1246"/>
      <c r="AH1024" s="1246"/>
      <c r="AI1024" s="1247"/>
      <c r="AJ1024" s="1264"/>
      <c r="AK1024" s="1265"/>
      <c r="AL1024" s="1265"/>
      <c r="AM1024" s="1265"/>
      <c r="AN1024" s="1265"/>
      <c r="AO1024" s="1265"/>
      <c r="AP1024" s="1265"/>
      <c r="AQ1024" s="1266"/>
      <c r="AR1024" s="1183"/>
      <c r="AS1024" s="1183"/>
      <c r="AT1024" s="1183"/>
      <c r="AU1024" s="1183"/>
      <c r="AV1024" s="1183"/>
      <c r="AW1024" s="1183"/>
      <c r="AX1024" s="3">
        <v>3</v>
      </c>
      <c r="AY1024" s="1196">
        <f t="shared" si="55"/>
        <v>0.05</v>
      </c>
      <c r="AZ1024" s="1078">
        <v>0.05</v>
      </c>
    </row>
    <row r="1025" spans="1:52" ht="12.95" customHeight="1">
      <c r="A1025" s="13"/>
      <c r="B1025" s="61"/>
      <c r="C1025" s="242" t="s">
        <v>1713</v>
      </c>
      <c r="D1025" s="1438" t="s">
        <v>1714</v>
      </c>
      <c r="E1025" s="1439"/>
      <c r="F1025" s="1439"/>
      <c r="G1025" s="1439"/>
      <c r="H1025" s="1439"/>
      <c r="I1025" s="1439"/>
      <c r="J1025" s="1439"/>
      <c r="K1025" s="1439"/>
      <c r="L1025" s="1439"/>
      <c r="M1025" s="1439"/>
      <c r="N1025" s="1439"/>
      <c r="O1025" s="1439"/>
      <c r="P1025" s="1439"/>
      <c r="Q1025" s="1439"/>
      <c r="R1025" s="1439"/>
      <c r="S1025" s="1439"/>
      <c r="T1025" s="1439"/>
      <c r="U1025" s="1439"/>
      <c r="V1025" s="1439"/>
      <c r="W1025" s="1439"/>
      <c r="X1025" s="1439"/>
      <c r="Y1025" s="1439"/>
      <c r="Z1025" s="1439"/>
      <c r="AA1025" s="1439"/>
      <c r="AB1025" s="1439"/>
      <c r="AC1025" s="1439"/>
      <c r="AD1025" s="1439"/>
      <c r="AE1025" s="1440"/>
      <c r="AF1025" s="61"/>
      <c r="AG1025" s="1467" t="s">
        <v>862</v>
      </c>
      <c r="AH1025" s="1468"/>
      <c r="AI1025" s="64"/>
      <c r="AJ1025" s="1258">
        <f>IF(AG1025="yes",AJ1001*AY1033,0)</f>
        <v>12332073.600000001</v>
      </c>
      <c r="AK1025" s="1259"/>
      <c r="AL1025" s="1259"/>
      <c r="AM1025" s="1259"/>
      <c r="AN1025" s="1259"/>
      <c r="AO1025" s="1259"/>
      <c r="AP1025" s="1259"/>
      <c r="AQ1025" s="1260"/>
      <c r="AR1025" s="1183"/>
      <c r="AS1025" s="1183"/>
      <c r="AT1025" s="1183"/>
      <c r="AU1025" s="1183"/>
      <c r="AV1025" s="1183"/>
      <c r="AW1025" s="1183"/>
      <c r="AX1025" s="3">
        <v>4</v>
      </c>
      <c r="AY1025" s="1196">
        <f t="shared" si="55"/>
        <v>0</v>
      </c>
      <c r="AZ1025" s="1078">
        <v>0.02</v>
      </c>
    </row>
    <row r="1026" spans="1:52" ht="12.95" customHeight="1">
      <c r="A1026" s="13"/>
      <c r="B1026" s="58"/>
      <c r="C1026" s="1194"/>
      <c r="D1026" s="1460" t="s">
        <v>1715</v>
      </c>
      <c r="E1026" s="1461"/>
      <c r="F1026" s="1461"/>
      <c r="G1026" s="1461"/>
      <c r="H1026" s="1461"/>
      <c r="I1026" s="1461"/>
      <c r="J1026" s="1461"/>
      <c r="K1026" s="1461"/>
      <c r="L1026" s="1461"/>
      <c r="M1026" s="1461"/>
      <c r="N1026" s="1461"/>
      <c r="O1026" s="1461"/>
      <c r="P1026" s="1461"/>
      <c r="Q1026" s="1461"/>
      <c r="R1026" s="1461"/>
      <c r="S1026" s="1461"/>
      <c r="T1026" s="1461"/>
      <c r="U1026" s="1461"/>
      <c r="V1026" s="1461"/>
      <c r="W1026" s="1461"/>
      <c r="X1026" s="1461"/>
      <c r="Y1026" s="1461"/>
      <c r="Z1026" s="1461"/>
      <c r="AA1026" s="1461"/>
      <c r="AB1026" s="1461"/>
      <c r="AC1026" s="1461"/>
      <c r="AD1026" s="1461"/>
      <c r="AE1026" s="1462"/>
      <c r="AF1026" s="1236" t="str">
        <f>IF(AND(AG1025="Yes",AY1033=0),AY1036,"")</f>
        <v/>
      </c>
      <c r="AG1026" s="1237"/>
      <c r="AH1026" s="1237"/>
      <c r="AI1026" s="1238"/>
      <c r="AJ1026" s="1261"/>
      <c r="AK1026" s="1262"/>
      <c r="AL1026" s="1262"/>
      <c r="AM1026" s="1262"/>
      <c r="AN1026" s="1262"/>
      <c r="AO1026" s="1262"/>
      <c r="AP1026" s="1262"/>
      <c r="AQ1026" s="1263"/>
      <c r="AR1026" s="1183"/>
      <c r="AS1026" s="1183"/>
      <c r="AT1026" s="1183"/>
      <c r="AU1026" s="1183"/>
      <c r="AV1026" s="1183"/>
      <c r="AW1026" s="1183"/>
      <c r="AX1026" s="3">
        <v>5</v>
      </c>
      <c r="AY1026" s="1196">
        <f t="shared" si="55"/>
        <v>0</v>
      </c>
      <c r="AZ1026" s="1078">
        <v>0.04</v>
      </c>
    </row>
    <row r="1027" spans="1:52" ht="12.95" customHeight="1">
      <c r="A1027" s="13"/>
      <c r="B1027" s="58"/>
      <c r="C1027" s="1194"/>
      <c r="D1027" s="1460"/>
      <c r="E1027" s="1461"/>
      <c r="F1027" s="1461"/>
      <c r="G1027" s="1461"/>
      <c r="H1027" s="1461"/>
      <c r="I1027" s="1461"/>
      <c r="J1027" s="1461"/>
      <c r="K1027" s="1461"/>
      <c r="L1027" s="1461"/>
      <c r="M1027" s="1461"/>
      <c r="N1027" s="1461"/>
      <c r="O1027" s="1461"/>
      <c r="P1027" s="1461"/>
      <c r="Q1027" s="1461"/>
      <c r="R1027" s="1461"/>
      <c r="S1027" s="1461"/>
      <c r="T1027" s="1461"/>
      <c r="U1027" s="1461"/>
      <c r="V1027" s="1461"/>
      <c r="W1027" s="1461"/>
      <c r="X1027" s="1461"/>
      <c r="Y1027" s="1461"/>
      <c r="Z1027" s="1461"/>
      <c r="AA1027" s="1461"/>
      <c r="AB1027" s="1461"/>
      <c r="AC1027" s="1461"/>
      <c r="AD1027" s="1461"/>
      <c r="AE1027" s="1462"/>
      <c r="AF1027" s="1236"/>
      <c r="AG1027" s="1237"/>
      <c r="AH1027" s="1237"/>
      <c r="AI1027" s="1238"/>
      <c r="AJ1027" s="1261"/>
      <c r="AK1027" s="1262"/>
      <c r="AL1027" s="1262"/>
      <c r="AM1027" s="1262"/>
      <c r="AN1027" s="1262"/>
      <c r="AO1027" s="1262"/>
      <c r="AP1027" s="1262"/>
      <c r="AQ1027" s="1263"/>
      <c r="AR1027" s="1183"/>
      <c r="AS1027" s="1183"/>
      <c r="AT1027" s="1183"/>
      <c r="AU1027" s="1183"/>
      <c r="AV1027" s="1183"/>
      <c r="AW1027" s="1183"/>
      <c r="AX1027" s="3">
        <v>6</v>
      </c>
      <c r="AY1027" s="1196">
        <f t="shared" si="55"/>
        <v>0</v>
      </c>
      <c r="AZ1027" s="1078">
        <v>0.04</v>
      </c>
    </row>
    <row r="1028" spans="1:52" ht="12.95" customHeight="1">
      <c r="A1028" s="13"/>
      <c r="B1028" s="1197"/>
      <c r="C1028" s="1191"/>
      <c r="D1028" s="1453"/>
      <c r="E1028" s="1454"/>
      <c r="F1028" s="1454"/>
      <c r="G1028" s="1454"/>
      <c r="H1028" s="1454"/>
      <c r="I1028" s="1454"/>
      <c r="J1028" s="1454"/>
      <c r="K1028" s="1454"/>
      <c r="L1028" s="1454"/>
      <c r="M1028" s="1454"/>
      <c r="N1028" s="1454"/>
      <c r="O1028" s="1454"/>
      <c r="P1028" s="1454"/>
      <c r="Q1028" s="1454"/>
      <c r="R1028" s="1454"/>
      <c r="S1028" s="1454"/>
      <c r="T1028" s="1454"/>
      <c r="U1028" s="1454"/>
      <c r="V1028" s="1454"/>
      <c r="W1028" s="1454"/>
      <c r="X1028" s="1454"/>
      <c r="Y1028" s="1454"/>
      <c r="Z1028" s="1454"/>
      <c r="AA1028" s="1454"/>
      <c r="AB1028" s="1454"/>
      <c r="AC1028" s="1454"/>
      <c r="AD1028" s="1454"/>
      <c r="AE1028" s="1455"/>
      <c r="AF1028" s="1239"/>
      <c r="AG1028" s="1240"/>
      <c r="AH1028" s="1240"/>
      <c r="AI1028" s="1241"/>
      <c r="AJ1028" s="1264"/>
      <c r="AK1028" s="1265"/>
      <c r="AL1028" s="1265"/>
      <c r="AM1028" s="1265"/>
      <c r="AN1028" s="1265"/>
      <c r="AO1028" s="1265"/>
      <c r="AP1028" s="1265"/>
      <c r="AQ1028" s="1266"/>
      <c r="AR1028" s="1183"/>
      <c r="AS1028" s="1183"/>
      <c r="AT1028" s="1183"/>
      <c r="AU1028" s="1183"/>
      <c r="AV1028" s="1183"/>
      <c r="AW1028" s="1183"/>
      <c r="AX1028" s="3">
        <v>7</v>
      </c>
      <c r="AY1028" s="1196">
        <f t="shared" si="55"/>
        <v>0</v>
      </c>
      <c r="AZ1028" s="1078">
        <v>0.01</v>
      </c>
    </row>
    <row r="1029" spans="1:52" ht="12.95" customHeight="1">
      <c r="A1029" s="13"/>
      <c r="B1029" s="61"/>
      <c r="C1029" s="242" t="s">
        <v>1716</v>
      </c>
      <c r="D1029" s="1500" t="s">
        <v>1717</v>
      </c>
      <c r="E1029" s="1501"/>
      <c r="F1029" s="1501"/>
      <c r="G1029" s="1501"/>
      <c r="H1029" s="1501"/>
      <c r="I1029" s="1501"/>
      <c r="J1029" s="1501"/>
      <c r="K1029" s="1501"/>
      <c r="L1029" s="1501"/>
      <c r="M1029" s="1501"/>
      <c r="N1029" s="1501"/>
      <c r="O1029" s="1501"/>
      <c r="P1029" s="1501"/>
      <c r="Q1029" s="1501"/>
      <c r="R1029" s="1501"/>
      <c r="S1029" s="1501"/>
      <c r="T1029" s="1501"/>
      <c r="U1029" s="1501"/>
      <c r="V1029" s="1501"/>
      <c r="W1029" s="1501"/>
      <c r="X1029" s="1501"/>
      <c r="Y1029" s="1501"/>
      <c r="Z1029" s="1501"/>
      <c r="AA1029" s="1501"/>
      <c r="AB1029" s="1501"/>
      <c r="AC1029" s="1501"/>
      <c r="AD1029" s="1501"/>
      <c r="AE1029" s="1502"/>
      <c r="AF1029" s="61"/>
      <c r="AG1029" s="1467" t="s">
        <v>701</v>
      </c>
      <c r="AH1029" s="1468"/>
      <c r="AI1029" s="64"/>
      <c r="AJ1029" s="1258">
        <f>ROUND(IF(AND(AG1029="Yes",J1033&lt;&gt;"N/A",AF1032&lt;&gt;""),MIN(AF1032,(0.15*AJ1001)),0),0)</f>
        <v>0</v>
      </c>
      <c r="AK1029" s="1259"/>
      <c r="AL1029" s="1259"/>
      <c r="AM1029" s="1259"/>
      <c r="AN1029" s="1259"/>
      <c r="AO1029" s="1259"/>
      <c r="AP1029" s="1259"/>
      <c r="AQ1029" s="1260"/>
      <c r="AR1029" s="1183"/>
      <c r="AS1029" s="1183"/>
      <c r="AT1029" s="1183"/>
      <c r="AU1029" s="1183"/>
      <c r="AV1029" s="1183"/>
      <c r="AW1029" s="1183"/>
      <c r="AX1029" s="3">
        <v>8</v>
      </c>
      <c r="AY1029" s="1196">
        <f t="shared" si="55"/>
        <v>0</v>
      </c>
      <c r="AZ1029" s="1078">
        <v>0.01</v>
      </c>
    </row>
    <row r="1030" spans="1:52" ht="12.95" customHeight="1">
      <c r="A1030" s="13"/>
      <c r="B1030" s="1197"/>
      <c r="C1030" s="1198"/>
      <c r="D1030" s="1503"/>
      <c r="E1030" s="1504"/>
      <c r="F1030" s="1504"/>
      <c r="G1030" s="1504"/>
      <c r="H1030" s="1504"/>
      <c r="I1030" s="1504"/>
      <c r="J1030" s="1504"/>
      <c r="K1030" s="1504"/>
      <c r="L1030" s="1504"/>
      <c r="M1030" s="1504"/>
      <c r="N1030" s="1504"/>
      <c r="O1030" s="1504"/>
      <c r="P1030" s="1504"/>
      <c r="Q1030" s="1504"/>
      <c r="R1030" s="1504"/>
      <c r="S1030" s="1504"/>
      <c r="T1030" s="1504"/>
      <c r="U1030" s="1504"/>
      <c r="V1030" s="1504"/>
      <c r="W1030" s="1504"/>
      <c r="X1030" s="1504"/>
      <c r="Y1030" s="1504"/>
      <c r="Z1030" s="1504"/>
      <c r="AA1030" s="1504"/>
      <c r="AB1030" s="1504"/>
      <c r="AC1030" s="1504"/>
      <c r="AD1030" s="1504"/>
      <c r="AE1030" s="1505"/>
      <c r="AF1030" s="1472" t="str">
        <f>IF(AG1029="yes","Please Select Type and Enter Amount:","")</f>
        <v/>
      </c>
      <c r="AG1030" s="1473"/>
      <c r="AH1030" s="1473"/>
      <c r="AI1030" s="1474"/>
      <c r="AJ1030" s="1261"/>
      <c r="AK1030" s="1262"/>
      <c r="AL1030" s="1262"/>
      <c r="AM1030" s="1262"/>
      <c r="AN1030" s="1262"/>
      <c r="AO1030" s="1262"/>
      <c r="AP1030" s="1262"/>
      <c r="AQ1030" s="1263"/>
      <c r="AR1030" s="1183"/>
      <c r="AS1030" s="1183"/>
      <c r="AT1030" s="1183"/>
      <c r="AU1030" s="1183"/>
      <c r="AV1030" s="1183"/>
      <c r="AW1030" s="1183"/>
      <c r="AX1030" s="3">
        <v>9</v>
      </c>
      <c r="AY1030" s="1196">
        <f t="shared" si="55"/>
        <v>0</v>
      </c>
      <c r="AZ1030" s="1078">
        <v>0.01</v>
      </c>
    </row>
    <row r="1031" spans="1:52" ht="12.95" customHeight="1">
      <c r="A1031" s="13"/>
      <c r="B1031" s="1197"/>
      <c r="C1031" s="1198"/>
      <c r="D1031" s="1460" t="s">
        <v>1718</v>
      </c>
      <c r="E1031" s="1461"/>
      <c r="F1031" s="1461"/>
      <c r="G1031" s="1461"/>
      <c r="H1031" s="1461"/>
      <c r="I1031" s="1461"/>
      <c r="J1031" s="1461"/>
      <c r="K1031" s="1461"/>
      <c r="L1031" s="1461"/>
      <c r="M1031" s="1461"/>
      <c r="N1031" s="1461"/>
      <c r="O1031" s="1461"/>
      <c r="P1031" s="1461"/>
      <c r="Q1031" s="1461"/>
      <c r="R1031" s="1461"/>
      <c r="S1031" s="1461"/>
      <c r="T1031" s="1461"/>
      <c r="U1031" s="1461"/>
      <c r="V1031" s="1461"/>
      <c r="W1031" s="1461"/>
      <c r="X1031" s="1461"/>
      <c r="Y1031" s="1461"/>
      <c r="Z1031" s="1461"/>
      <c r="AA1031" s="1461"/>
      <c r="AB1031" s="1461"/>
      <c r="AC1031" s="1461"/>
      <c r="AD1031" s="1461"/>
      <c r="AE1031" s="1462"/>
      <c r="AF1031" s="1472"/>
      <c r="AG1031" s="1473"/>
      <c r="AH1031" s="1473"/>
      <c r="AI1031" s="1474"/>
      <c r="AJ1031" s="1261"/>
      <c r="AK1031" s="1262"/>
      <c r="AL1031" s="1262"/>
      <c r="AM1031" s="1262"/>
      <c r="AN1031" s="1262"/>
      <c r="AO1031" s="1262"/>
      <c r="AP1031" s="1262"/>
      <c r="AQ1031" s="1263"/>
      <c r="AR1031" s="1183"/>
      <c r="AS1031" s="1183"/>
      <c r="AT1031" s="1183"/>
      <c r="AU1031" s="1183"/>
      <c r="AV1031" s="1183"/>
      <c r="AW1031" s="1183"/>
      <c r="AX1031" s="3">
        <v>10</v>
      </c>
      <c r="AY1031" s="1196">
        <f t="shared" si="55"/>
        <v>0</v>
      </c>
      <c r="AZ1031" s="1078">
        <v>0.02</v>
      </c>
    </row>
    <row r="1032" spans="1:52" ht="12.95" customHeight="1">
      <c r="A1032" s="13"/>
      <c r="B1032" s="1197"/>
      <c r="C1032" s="1198"/>
      <c r="D1032" s="1460"/>
      <c r="E1032" s="1461"/>
      <c r="F1032" s="1461"/>
      <c r="G1032" s="1461"/>
      <c r="H1032" s="1461"/>
      <c r="I1032" s="1461"/>
      <c r="J1032" s="1461"/>
      <c r="K1032" s="1461"/>
      <c r="L1032" s="1461"/>
      <c r="M1032" s="1461"/>
      <c r="N1032" s="1461"/>
      <c r="O1032" s="1461"/>
      <c r="P1032" s="1461"/>
      <c r="Q1032" s="1461"/>
      <c r="R1032" s="1461"/>
      <c r="S1032" s="1461"/>
      <c r="T1032" s="1461"/>
      <c r="U1032" s="1461"/>
      <c r="V1032" s="1461"/>
      <c r="W1032" s="1461"/>
      <c r="X1032" s="1461"/>
      <c r="Y1032" s="1461"/>
      <c r="Z1032" s="1461"/>
      <c r="AA1032" s="1461"/>
      <c r="AB1032" s="1461"/>
      <c r="AC1032" s="1461"/>
      <c r="AD1032" s="1461"/>
      <c r="AE1032" s="1462"/>
      <c r="AF1032" s="1279"/>
      <c r="AG1032" s="1279"/>
      <c r="AH1032" s="1279"/>
      <c r="AI1032" s="1279"/>
      <c r="AJ1032" s="1261"/>
      <c r="AK1032" s="1262"/>
      <c r="AL1032" s="1262"/>
      <c r="AM1032" s="1262"/>
      <c r="AN1032" s="1262"/>
      <c r="AO1032" s="1262"/>
      <c r="AP1032" s="1262"/>
      <c r="AQ1032" s="1263"/>
      <c r="AR1032" s="1183"/>
      <c r="AS1032" s="1183"/>
      <c r="AT1032" s="1183"/>
      <c r="AU1032" s="1183"/>
      <c r="AV1032" s="1183"/>
      <c r="AW1032" s="1183"/>
      <c r="AX1032" s="3">
        <v>11</v>
      </c>
      <c r="AY1032" s="1196">
        <f t="shared" si="55"/>
        <v>0</v>
      </c>
      <c r="AZ1032" s="1078">
        <v>0.02</v>
      </c>
    </row>
    <row r="1033" spans="1:52" ht="12.95" customHeight="1">
      <c r="A1033" s="13"/>
      <c r="B1033" s="1197"/>
      <c r="C1033" s="1198"/>
      <c r="D1033" s="426" t="s">
        <v>1719</v>
      </c>
      <c r="E1033" s="66"/>
      <c r="F1033" s="66"/>
      <c r="G1033" s="788"/>
      <c r="H1033" s="788"/>
      <c r="I1033" s="41"/>
      <c r="J1033" s="1293" t="s">
        <v>826</v>
      </c>
      <c r="K1033" s="1294"/>
      <c r="L1033" s="1294"/>
      <c r="M1033" s="1294"/>
      <c r="N1033" s="1294"/>
      <c r="O1033" s="1294"/>
      <c r="P1033" s="1294"/>
      <c r="Q1033" s="1294"/>
      <c r="R1033" s="1294"/>
      <c r="S1033" s="1294"/>
      <c r="T1033" s="1294"/>
      <c r="U1033" s="1294"/>
      <c r="V1033" s="1294"/>
      <c r="W1033" s="1294"/>
      <c r="X1033" s="1294"/>
      <c r="Y1033" s="1294"/>
      <c r="Z1033" s="1294"/>
      <c r="AA1033" s="1294"/>
      <c r="AB1033" s="1294"/>
      <c r="AC1033" s="1294"/>
      <c r="AD1033" s="1294"/>
      <c r="AE1033" s="1295"/>
      <c r="AF1033" s="1279"/>
      <c r="AG1033" s="1279"/>
      <c r="AH1033" s="1279"/>
      <c r="AI1033" s="1279"/>
      <c r="AJ1033" s="1264"/>
      <c r="AK1033" s="1265"/>
      <c r="AL1033" s="1265"/>
      <c r="AM1033" s="1265"/>
      <c r="AN1033" s="1265"/>
      <c r="AO1033" s="1265"/>
      <c r="AP1033" s="1265"/>
      <c r="AQ1033" s="1266"/>
      <c r="AR1033" s="1183"/>
      <c r="AS1033" s="1183"/>
      <c r="AT1033" s="1183"/>
      <c r="AU1033" s="1183"/>
      <c r="AV1033" s="1183"/>
      <c r="AW1033" s="1183"/>
      <c r="AX1033" s="918" t="s">
        <v>1720</v>
      </c>
      <c r="AY1033" s="1199">
        <f>IF(SUM(AY1022:AY1032)&lt;=0.2,SUM(AY1022:AY1032),0.2)</f>
        <v>0.2</v>
      </c>
    </row>
    <row r="1034" spans="1:52" ht="12.95" customHeight="1">
      <c r="A1034" s="13"/>
      <c r="B1034" s="61"/>
      <c r="C1034" s="242" t="s">
        <v>1721</v>
      </c>
      <c r="D1034" s="1450" t="s">
        <v>1722</v>
      </c>
      <c r="E1034" s="1451"/>
      <c r="F1034" s="1451"/>
      <c r="G1034" s="1451"/>
      <c r="H1034" s="1451"/>
      <c r="I1034" s="1451"/>
      <c r="J1034" s="1451"/>
      <c r="K1034" s="1451"/>
      <c r="L1034" s="1451"/>
      <c r="M1034" s="1451"/>
      <c r="N1034" s="1451"/>
      <c r="O1034" s="1451"/>
      <c r="P1034" s="1451"/>
      <c r="Q1034" s="1451"/>
      <c r="R1034" s="1451"/>
      <c r="S1034" s="1451"/>
      <c r="T1034" s="1451"/>
      <c r="U1034" s="1451"/>
      <c r="V1034" s="1451"/>
      <c r="W1034" s="1451"/>
      <c r="X1034" s="1451"/>
      <c r="Y1034" s="1451"/>
      <c r="Z1034" s="1451"/>
      <c r="AA1034" s="1451"/>
      <c r="AB1034" s="1451"/>
      <c r="AC1034" s="1451"/>
      <c r="AD1034" s="1451"/>
      <c r="AE1034" s="1452"/>
      <c r="AF1034" s="61"/>
      <c r="AG1034" s="1467" t="s">
        <v>862</v>
      </c>
      <c r="AH1034" s="1468"/>
      <c r="AI1034" s="64"/>
      <c r="AJ1034" s="1258">
        <f>ROUND(IF(AG1034="Yes",AF1036,0),0)</f>
        <v>1763654</v>
      </c>
      <c r="AK1034" s="1259"/>
      <c r="AL1034" s="1259"/>
      <c r="AM1034" s="1259"/>
      <c r="AN1034" s="1259"/>
      <c r="AO1034" s="1259"/>
      <c r="AP1034" s="1259"/>
      <c r="AQ1034" s="1260"/>
      <c r="AR1034" s="1183"/>
      <c r="AS1034" s="1183"/>
      <c r="AT1034" s="1183"/>
      <c r="AU1034" s="1183"/>
      <c r="AV1034" s="1183"/>
      <c r="AW1034" s="1183"/>
      <c r="AX1034" s="1183"/>
      <c r="AY1034" s="1183"/>
    </row>
    <row r="1035" spans="1:52" ht="12.95" customHeight="1">
      <c r="A1035" s="13"/>
      <c r="B1035" s="58"/>
      <c r="C1035" s="1194"/>
      <c r="D1035" s="1460" t="s">
        <v>1723</v>
      </c>
      <c r="E1035" s="1461"/>
      <c r="F1035" s="1461"/>
      <c r="G1035" s="1461"/>
      <c r="H1035" s="1461"/>
      <c r="I1035" s="1461"/>
      <c r="J1035" s="1461"/>
      <c r="K1035" s="1461"/>
      <c r="L1035" s="1461"/>
      <c r="M1035" s="1461"/>
      <c r="N1035" s="1461"/>
      <c r="O1035" s="1461"/>
      <c r="P1035" s="1461"/>
      <c r="Q1035" s="1461"/>
      <c r="R1035" s="1461"/>
      <c r="S1035" s="1461"/>
      <c r="T1035" s="1461"/>
      <c r="U1035" s="1461"/>
      <c r="V1035" s="1461"/>
      <c r="W1035" s="1461"/>
      <c r="X1035" s="1461"/>
      <c r="Y1035" s="1461"/>
      <c r="Z1035" s="1461"/>
      <c r="AA1035" s="1461"/>
      <c r="AB1035" s="1461"/>
      <c r="AC1035" s="1461"/>
      <c r="AD1035" s="1461"/>
      <c r="AE1035" s="1462"/>
      <c r="AF1035" s="1506" t="str">
        <f>IF(AG1034="yes","Enter Amount:","")</f>
        <v>Enter Amount:</v>
      </c>
      <c r="AG1035" s="1507"/>
      <c r="AH1035" s="1507"/>
      <c r="AI1035" s="1508"/>
      <c r="AJ1035" s="1261"/>
      <c r="AK1035" s="1262"/>
      <c r="AL1035" s="1262"/>
      <c r="AM1035" s="1262"/>
      <c r="AN1035" s="1262"/>
      <c r="AO1035" s="1262"/>
      <c r="AP1035" s="1262"/>
      <c r="AQ1035" s="1263"/>
      <c r="AR1035" s="1183"/>
      <c r="AS1035" s="1183"/>
      <c r="AT1035" s="1183"/>
      <c r="AU1035" s="1183"/>
      <c r="AV1035" s="1183"/>
      <c r="AW1035" s="1183"/>
      <c r="AX1035" s="1183"/>
      <c r="AY1035" s="1183"/>
    </row>
    <row r="1036" spans="1:52" ht="12.95" customHeight="1">
      <c r="A1036" s="13"/>
      <c r="B1036" s="58"/>
      <c r="C1036" s="1194"/>
      <c r="D1036" s="1460"/>
      <c r="E1036" s="1461"/>
      <c r="F1036" s="1461"/>
      <c r="G1036" s="1461"/>
      <c r="H1036" s="1461"/>
      <c r="I1036" s="1461"/>
      <c r="J1036" s="1461"/>
      <c r="K1036" s="1461"/>
      <c r="L1036" s="1461"/>
      <c r="M1036" s="1461"/>
      <c r="N1036" s="1461"/>
      <c r="O1036" s="1461"/>
      <c r="P1036" s="1461"/>
      <c r="Q1036" s="1461"/>
      <c r="R1036" s="1461"/>
      <c r="S1036" s="1461"/>
      <c r="T1036" s="1461"/>
      <c r="U1036" s="1461"/>
      <c r="V1036" s="1461"/>
      <c r="W1036" s="1461"/>
      <c r="X1036" s="1461"/>
      <c r="Y1036" s="1461"/>
      <c r="Z1036" s="1461"/>
      <c r="AA1036" s="1461"/>
      <c r="AB1036" s="1461"/>
      <c r="AC1036" s="1461"/>
      <c r="AD1036" s="1461"/>
      <c r="AE1036" s="1462"/>
      <c r="AF1036" s="1279">
        <v>1763654</v>
      </c>
      <c r="AG1036" s="1279"/>
      <c r="AH1036" s="1279"/>
      <c r="AI1036" s="1279"/>
      <c r="AJ1036" s="1261"/>
      <c r="AK1036" s="1262"/>
      <c r="AL1036" s="1262"/>
      <c r="AM1036" s="1262"/>
      <c r="AN1036" s="1262"/>
      <c r="AO1036" s="1262"/>
      <c r="AP1036" s="1262"/>
      <c r="AQ1036" s="1263"/>
      <c r="AR1036" s="1183"/>
      <c r="AS1036" s="1183"/>
      <c r="AT1036" s="1183"/>
      <c r="AU1036" s="1183"/>
      <c r="AV1036" s="1183"/>
      <c r="AW1036" s="1183"/>
      <c r="AX1036" s="1183"/>
      <c r="AY1036" s="13" t="str">
        <f>"Select items beginning on row #"&amp;TEXT(ROW(A1070),"#")&amp;" to claim this boost"</f>
        <v>Select items beginning on row #1070 to claim this boost</v>
      </c>
    </row>
    <row r="1037" spans="1:52" ht="12.95" customHeight="1">
      <c r="A1037" s="13"/>
      <c r="B1037" s="1195"/>
      <c r="C1037" s="1198"/>
      <c r="D1037" s="1453"/>
      <c r="E1037" s="1454"/>
      <c r="F1037" s="1454"/>
      <c r="G1037" s="1454"/>
      <c r="H1037" s="1454"/>
      <c r="I1037" s="1454"/>
      <c r="J1037" s="1454"/>
      <c r="K1037" s="1454"/>
      <c r="L1037" s="1454"/>
      <c r="M1037" s="1454"/>
      <c r="N1037" s="1454"/>
      <c r="O1037" s="1454"/>
      <c r="P1037" s="1454"/>
      <c r="Q1037" s="1454"/>
      <c r="R1037" s="1454"/>
      <c r="S1037" s="1454"/>
      <c r="T1037" s="1454"/>
      <c r="U1037" s="1454"/>
      <c r="V1037" s="1454"/>
      <c r="W1037" s="1454"/>
      <c r="X1037" s="1454"/>
      <c r="Y1037" s="1454"/>
      <c r="Z1037" s="1454"/>
      <c r="AA1037" s="1454"/>
      <c r="AB1037" s="1454"/>
      <c r="AC1037" s="1454"/>
      <c r="AD1037" s="1454"/>
      <c r="AE1037" s="1455"/>
      <c r="AF1037" s="1279"/>
      <c r="AG1037" s="1279"/>
      <c r="AH1037" s="1279"/>
      <c r="AI1037" s="1279"/>
      <c r="AJ1037" s="1264"/>
      <c r="AK1037" s="1265"/>
      <c r="AL1037" s="1265"/>
      <c r="AM1037" s="1265"/>
      <c r="AN1037" s="1265"/>
      <c r="AO1037" s="1265"/>
      <c r="AP1037" s="1265"/>
      <c r="AQ1037" s="1266"/>
      <c r="AR1037" s="1183"/>
      <c r="AS1037" s="1183"/>
      <c r="AT1037" s="1183"/>
      <c r="AU1037" s="1183"/>
      <c r="AV1037" s="1183"/>
      <c r="AW1037" s="1183"/>
      <c r="AX1037" s="1183"/>
      <c r="AY1037" s="1183"/>
    </row>
    <row r="1038" spans="1:52" ht="12.95" customHeight="1">
      <c r="A1038" s="13"/>
      <c r="B1038" s="61"/>
      <c r="C1038" s="242" t="s">
        <v>1724</v>
      </c>
      <c r="D1038" s="1438" t="s">
        <v>1725</v>
      </c>
      <c r="E1038" s="1439"/>
      <c r="F1038" s="1439"/>
      <c r="G1038" s="1439"/>
      <c r="H1038" s="1439"/>
      <c r="I1038" s="1439"/>
      <c r="J1038" s="1439"/>
      <c r="K1038" s="1439"/>
      <c r="L1038" s="1439"/>
      <c r="M1038" s="1439"/>
      <c r="N1038" s="1439"/>
      <c r="O1038" s="1439"/>
      <c r="P1038" s="1439"/>
      <c r="Q1038" s="1439"/>
      <c r="R1038" s="1439"/>
      <c r="S1038" s="1439"/>
      <c r="T1038" s="1439"/>
      <c r="U1038" s="1439"/>
      <c r="V1038" s="1439"/>
      <c r="W1038" s="1439"/>
      <c r="X1038" s="1439"/>
      <c r="Y1038" s="1439"/>
      <c r="Z1038" s="1439"/>
      <c r="AA1038" s="1439"/>
      <c r="AB1038" s="1439"/>
      <c r="AC1038" s="1439"/>
      <c r="AD1038" s="1439"/>
      <c r="AE1038" s="1440"/>
      <c r="AF1038" s="61"/>
      <c r="AG1038" s="1467" t="s">
        <v>701</v>
      </c>
      <c r="AH1038" s="1468"/>
      <c r="AI1038" s="64"/>
      <c r="AJ1038" s="1258">
        <f>ROUND(IF(AG1038="yes",(AJ1001*0.1),0),0)</f>
        <v>0</v>
      </c>
      <c r="AK1038" s="1259"/>
      <c r="AL1038" s="1259"/>
      <c r="AM1038" s="1259"/>
      <c r="AN1038" s="1259"/>
      <c r="AO1038" s="1259"/>
      <c r="AP1038" s="1259"/>
      <c r="AQ1038" s="1260"/>
      <c r="AR1038" s="1183"/>
      <c r="AS1038" s="1183"/>
      <c r="AT1038" s="1183"/>
      <c r="AU1038" s="1183"/>
      <c r="AV1038" s="1183"/>
      <c r="AW1038" s="1183"/>
      <c r="AX1038" s="1183"/>
      <c r="AY1038" s="1183"/>
    </row>
    <row r="1039" spans="1:52" ht="12.95" customHeight="1">
      <c r="A1039" s="13"/>
      <c r="B1039" s="58"/>
      <c r="C1039" s="1194"/>
      <c r="D1039" s="1460" t="s">
        <v>1726</v>
      </c>
      <c r="E1039" s="1461"/>
      <c r="F1039" s="1461"/>
      <c r="G1039" s="1461"/>
      <c r="H1039" s="1461"/>
      <c r="I1039" s="1461"/>
      <c r="J1039" s="1461"/>
      <c r="K1039" s="1461"/>
      <c r="L1039" s="1461"/>
      <c r="M1039" s="1461"/>
      <c r="N1039" s="1461"/>
      <c r="O1039" s="1461"/>
      <c r="P1039" s="1461"/>
      <c r="Q1039" s="1461"/>
      <c r="R1039" s="1461"/>
      <c r="S1039" s="1461"/>
      <c r="T1039" s="1461"/>
      <c r="U1039" s="1461"/>
      <c r="V1039" s="1461"/>
      <c r="W1039" s="1461"/>
      <c r="X1039" s="1461"/>
      <c r="Y1039" s="1461"/>
      <c r="Z1039" s="1461"/>
      <c r="AA1039" s="1461"/>
      <c r="AB1039" s="1461"/>
      <c r="AC1039" s="1461"/>
      <c r="AD1039" s="1461"/>
      <c r="AE1039" s="1462"/>
      <c r="AF1039" s="58"/>
      <c r="AG1039" s="13"/>
      <c r="AH1039" s="13"/>
      <c r="AI1039" s="62"/>
      <c r="AJ1039" s="1261"/>
      <c r="AK1039" s="1262"/>
      <c r="AL1039" s="1262"/>
      <c r="AM1039" s="1262"/>
      <c r="AN1039" s="1262"/>
      <c r="AO1039" s="1262"/>
      <c r="AP1039" s="1262"/>
      <c r="AQ1039" s="1263"/>
      <c r="AR1039" s="1183"/>
      <c r="AS1039" s="1183"/>
      <c r="AT1039" s="1183"/>
      <c r="AU1039" s="1183"/>
      <c r="AV1039" s="1183"/>
      <c r="AW1039" s="1183"/>
      <c r="AX1039" s="1183"/>
      <c r="AY1039" s="1183"/>
    </row>
    <row r="1040" spans="1:52" ht="12.95" customHeight="1">
      <c r="A1040" s="13"/>
      <c r="B1040" s="59"/>
      <c r="C1040" s="1194"/>
      <c r="D1040" s="1453"/>
      <c r="E1040" s="1454"/>
      <c r="F1040" s="1454"/>
      <c r="G1040" s="1454"/>
      <c r="H1040" s="1454"/>
      <c r="I1040" s="1454"/>
      <c r="J1040" s="1454"/>
      <c r="K1040" s="1454"/>
      <c r="L1040" s="1454"/>
      <c r="M1040" s="1454"/>
      <c r="N1040" s="1454"/>
      <c r="O1040" s="1454"/>
      <c r="P1040" s="1454"/>
      <c r="Q1040" s="1454"/>
      <c r="R1040" s="1454"/>
      <c r="S1040" s="1454"/>
      <c r="T1040" s="1454"/>
      <c r="U1040" s="1454"/>
      <c r="V1040" s="1454"/>
      <c r="W1040" s="1454"/>
      <c r="X1040" s="1454"/>
      <c r="Y1040" s="1454"/>
      <c r="Z1040" s="1454"/>
      <c r="AA1040" s="1454"/>
      <c r="AB1040" s="1454"/>
      <c r="AC1040" s="1454"/>
      <c r="AD1040" s="1454"/>
      <c r="AE1040" s="1455"/>
      <c r="AF1040" s="58"/>
      <c r="AG1040" s="13"/>
      <c r="AH1040" s="13"/>
      <c r="AI1040" s="62"/>
      <c r="AJ1040" s="1264"/>
      <c r="AK1040" s="1265"/>
      <c r="AL1040" s="1265"/>
      <c r="AM1040" s="1265"/>
      <c r="AN1040" s="1265"/>
      <c r="AO1040" s="1265"/>
      <c r="AP1040" s="1265"/>
      <c r="AQ1040" s="1266"/>
      <c r="AR1040" s="1183"/>
      <c r="AS1040" s="1183"/>
      <c r="AT1040" s="1183"/>
      <c r="AU1040" s="1183"/>
      <c r="AV1040" s="1183"/>
      <c r="AW1040" s="1183"/>
      <c r="AX1040" s="1183"/>
      <c r="AY1040" s="1183"/>
    </row>
    <row r="1041" spans="1:57" ht="12.95" customHeight="1">
      <c r="A1041" s="13"/>
      <c r="B1041" s="58"/>
      <c r="C1041" s="242" t="s">
        <v>22</v>
      </c>
      <c r="D1041" s="1450" t="s">
        <v>1727</v>
      </c>
      <c r="E1041" s="1451"/>
      <c r="F1041" s="1451"/>
      <c r="G1041" s="1451"/>
      <c r="H1041" s="1451"/>
      <c r="I1041" s="1451"/>
      <c r="J1041" s="1451"/>
      <c r="K1041" s="1451"/>
      <c r="L1041" s="1451"/>
      <c r="M1041" s="1451"/>
      <c r="N1041" s="1451"/>
      <c r="O1041" s="1451"/>
      <c r="P1041" s="1451"/>
      <c r="Q1041" s="1451"/>
      <c r="R1041" s="1451"/>
      <c r="S1041" s="1451"/>
      <c r="T1041" s="1451"/>
      <c r="U1041" s="1451"/>
      <c r="V1041" s="1451"/>
      <c r="W1041" s="1451"/>
      <c r="X1041" s="1451"/>
      <c r="Y1041" s="1451"/>
      <c r="Z1041" s="1451"/>
      <c r="AA1041" s="1451"/>
      <c r="AB1041" s="1451"/>
      <c r="AC1041" s="1451"/>
      <c r="AD1041" s="1451"/>
      <c r="AE1041" s="1452"/>
      <c r="AF1041" s="61"/>
      <c r="AG1041" s="1467" t="s">
        <v>701</v>
      </c>
      <c r="AH1041" s="1468"/>
      <c r="AI1041" s="64"/>
      <c r="AJ1041" s="1258">
        <f>ROUND(IF(AG1041="yes",(AJ1001*0.15),0),0)</f>
        <v>0</v>
      </c>
      <c r="AK1041" s="1259"/>
      <c r="AL1041" s="1259"/>
      <c r="AM1041" s="1259"/>
      <c r="AN1041" s="1259"/>
      <c r="AO1041" s="1259"/>
      <c r="AP1041" s="1259"/>
      <c r="AQ1041" s="1260"/>
      <c r="AR1041" s="1183"/>
      <c r="AS1041" s="1183"/>
      <c r="AT1041" s="1183"/>
      <c r="AU1041" s="1183"/>
      <c r="AV1041" s="1183"/>
      <c r="AW1041" s="1183"/>
      <c r="AX1041" s="1183"/>
      <c r="AY1041" s="1183"/>
    </row>
    <row r="1042" spans="1:57" ht="12.95" customHeight="1">
      <c r="A1042" s="13"/>
      <c r="B1042" s="58"/>
      <c r="C1042" s="1194"/>
      <c r="D1042" s="1478" t="s">
        <v>1728</v>
      </c>
      <c r="E1042" s="1479"/>
      <c r="F1042" s="1479"/>
      <c r="G1042" s="1479"/>
      <c r="H1042" s="1479"/>
      <c r="I1042" s="1479"/>
      <c r="J1042" s="1479"/>
      <c r="K1042" s="1479"/>
      <c r="L1042" s="1479"/>
      <c r="M1042" s="1479"/>
      <c r="N1042" s="1479"/>
      <c r="O1042" s="1479"/>
      <c r="P1042" s="1479"/>
      <c r="Q1042" s="1479"/>
      <c r="R1042" s="1479"/>
      <c r="S1042" s="1479"/>
      <c r="T1042" s="1479"/>
      <c r="U1042" s="1479"/>
      <c r="V1042" s="1479"/>
      <c r="W1042" s="1479"/>
      <c r="X1042" s="1479"/>
      <c r="Y1042" s="1479"/>
      <c r="Z1042" s="1479"/>
      <c r="AA1042" s="1479"/>
      <c r="AB1042" s="1479"/>
      <c r="AC1042" s="1479"/>
      <c r="AD1042" s="1479"/>
      <c r="AE1042" s="1480"/>
      <c r="AF1042" s="807"/>
      <c r="AG1042" s="808"/>
      <c r="AH1042" s="808"/>
      <c r="AI1042" s="809"/>
      <c r="AJ1042" s="1261"/>
      <c r="AK1042" s="1262"/>
      <c r="AL1042" s="1262"/>
      <c r="AM1042" s="1262"/>
      <c r="AN1042" s="1262"/>
      <c r="AO1042" s="1262"/>
      <c r="AP1042" s="1262"/>
      <c r="AQ1042" s="1263"/>
      <c r="AR1042" s="1183"/>
      <c r="AS1042" s="1183"/>
      <c r="AT1042" s="1183"/>
      <c r="AU1042" s="1183"/>
      <c r="AV1042" s="1183"/>
      <c r="AW1042" s="1183"/>
      <c r="AX1042" s="1183"/>
      <c r="AY1042" s="1183"/>
    </row>
    <row r="1043" spans="1:57" ht="12.95" customHeight="1">
      <c r="A1043" s="13"/>
      <c r="B1043" s="58"/>
      <c r="C1043" s="1194"/>
      <c r="D1043" s="1478"/>
      <c r="E1043" s="1479"/>
      <c r="F1043" s="1479"/>
      <c r="G1043" s="1479"/>
      <c r="H1043" s="1479"/>
      <c r="I1043" s="1479"/>
      <c r="J1043" s="1479"/>
      <c r="K1043" s="1479"/>
      <c r="L1043" s="1479"/>
      <c r="M1043" s="1479"/>
      <c r="N1043" s="1479"/>
      <c r="O1043" s="1479"/>
      <c r="P1043" s="1479"/>
      <c r="Q1043" s="1479"/>
      <c r="R1043" s="1479"/>
      <c r="S1043" s="1479"/>
      <c r="T1043" s="1479"/>
      <c r="U1043" s="1479"/>
      <c r="V1043" s="1479"/>
      <c r="W1043" s="1479"/>
      <c r="X1043" s="1479"/>
      <c r="Y1043" s="1479"/>
      <c r="Z1043" s="1479"/>
      <c r="AA1043" s="1479"/>
      <c r="AB1043" s="1479"/>
      <c r="AC1043" s="1479"/>
      <c r="AD1043" s="1479"/>
      <c r="AE1043" s="1480"/>
      <c r="AF1043" s="807"/>
      <c r="AG1043" s="808"/>
      <c r="AH1043" s="808"/>
      <c r="AI1043" s="809"/>
      <c r="AJ1043" s="1261"/>
      <c r="AK1043" s="1262"/>
      <c r="AL1043" s="1262"/>
      <c r="AM1043" s="1262"/>
      <c r="AN1043" s="1262"/>
      <c r="AO1043" s="1262"/>
      <c r="AP1043" s="1262"/>
      <c r="AQ1043" s="1263"/>
      <c r="AR1043" s="1183"/>
      <c r="AS1043" s="1183"/>
      <c r="AT1043" s="1183"/>
      <c r="AU1043" s="1183"/>
      <c r="AV1043" s="1183"/>
      <c r="AW1043" s="1183"/>
      <c r="AX1043" s="1183"/>
      <c r="AY1043" s="1183"/>
    </row>
    <row r="1044" spans="1:57" ht="12.95" customHeight="1">
      <c r="A1044" s="13"/>
      <c r="B1044" s="58"/>
      <c r="C1044" s="1194"/>
      <c r="D1044" s="1481"/>
      <c r="E1044" s="1482"/>
      <c r="F1044" s="1482"/>
      <c r="G1044" s="1482"/>
      <c r="H1044" s="1482"/>
      <c r="I1044" s="1482"/>
      <c r="J1044" s="1482"/>
      <c r="K1044" s="1482"/>
      <c r="L1044" s="1482"/>
      <c r="M1044" s="1482"/>
      <c r="N1044" s="1482"/>
      <c r="O1044" s="1482"/>
      <c r="P1044" s="1482"/>
      <c r="Q1044" s="1482"/>
      <c r="R1044" s="1482"/>
      <c r="S1044" s="1482"/>
      <c r="T1044" s="1482"/>
      <c r="U1044" s="1482"/>
      <c r="V1044" s="1482"/>
      <c r="W1044" s="1482"/>
      <c r="X1044" s="1482"/>
      <c r="Y1044" s="1482"/>
      <c r="Z1044" s="1482"/>
      <c r="AA1044" s="1482"/>
      <c r="AB1044" s="1482"/>
      <c r="AC1044" s="1482"/>
      <c r="AD1044" s="1482"/>
      <c r="AE1044" s="1483"/>
      <c r="AF1044" s="810"/>
      <c r="AG1044" s="811"/>
      <c r="AH1044" s="811"/>
      <c r="AI1044" s="812"/>
      <c r="AJ1044" s="1264"/>
      <c r="AK1044" s="1265"/>
      <c r="AL1044" s="1265"/>
      <c r="AM1044" s="1265"/>
      <c r="AN1044" s="1265"/>
      <c r="AO1044" s="1265"/>
      <c r="AP1044" s="1265"/>
      <c r="AQ1044" s="1266"/>
      <c r="AR1044" s="1183"/>
      <c r="AS1044" s="1183"/>
      <c r="AT1044" s="1183"/>
      <c r="AU1044" s="1183"/>
      <c r="AV1044" s="1183"/>
      <c r="AW1044" s="1183"/>
      <c r="AX1044" s="1183"/>
      <c r="AY1044" s="1183"/>
    </row>
    <row r="1045" spans="1:57" ht="12.95" customHeight="1">
      <c r="A1045" s="13"/>
      <c r="B1045" s="58"/>
      <c r="C1045" s="242" t="s">
        <v>22</v>
      </c>
      <c r="D1045" s="1438" t="s">
        <v>1729</v>
      </c>
      <c r="E1045" s="1439"/>
      <c r="F1045" s="1439"/>
      <c r="G1045" s="1439"/>
      <c r="H1045" s="1439"/>
      <c r="I1045" s="1439"/>
      <c r="J1045" s="1439"/>
      <c r="K1045" s="1439"/>
      <c r="L1045" s="1439"/>
      <c r="M1045" s="1439"/>
      <c r="N1045" s="1439"/>
      <c r="O1045" s="1439"/>
      <c r="P1045" s="1439"/>
      <c r="Q1045" s="1439"/>
      <c r="R1045" s="1439"/>
      <c r="S1045" s="1439"/>
      <c r="T1045" s="1439"/>
      <c r="U1045" s="1439"/>
      <c r="V1045" s="1439"/>
      <c r="W1045" s="1439"/>
      <c r="X1045" s="1439"/>
      <c r="Y1045" s="1439"/>
      <c r="Z1045" s="1439"/>
      <c r="AA1045" s="1439"/>
      <c r="AB1045" s="1439"/>
      <c r="AC1045" s="1439"/>
      <c r="AD1045" s="1439"/>
      <c r="AE1045" s="1440"/>
      <c r="AF1045" s="58"/>
      <c r="AG1045" s="1484" t="s">
        <v>701</v>
      </c>
      <c r="AH1045" s="1485"/>
      <c r="AI1045" s="62"/>
      <c r="AJ1045" s="1258">
        <f>ROUND(IF(AND(AG1045="yes",AJ1041=0),(AJ1001*0.1),0),0)</f>
        <v>0</v>
      </c>
      <c r="AK1045" s="1259"/>
      <c r="AL1045" s="1259"/>
      <c r="AM1045" s="1259"/>
      <c r="AN1045" s="1259"/>
      <c r="AO1045" s="1259"/>
      <c r="AP1045" s="1259"/>
      <c r="AQ1045" s="1260"/>
      <c r="AR1045" s="1183"/>
      <c r="AS1045" s="1183"/>
      <c r="AT1045" s="1183"/>
      <c r="AU1045" s="1183"/>
      <c r="AV1045" s="1183"/>
      <c r="AW1045" s="1183"/>
      <c r="AX1045" s="1183"/>
      <c r="AY1045" s="1183"/>
    </row>
    <row r="1046" spans="1:57" ht="12.95" customHeight="1">
      <c r="A1046" s="13"/>
      <c r="B1046" s="58"/>
      <c r="C1046" s="1194"/>
      <c r="D1046" s="1478" t="s">
        <v>1730</v>
      </c>
      <c r="E1046" s="1479"/>
      <c r="F1046" s="1479"/>
      <c r="G1046" s="1479"/>
      <c r="H1046" s="1479"/>
      <c r="I1046" s="1479"/>
      <c r="J1046" s="1479"/>
      <c r="K1046" s="1479"/>
      <c r="L1046" s="1479"/>
      <c r="M1046" s="1479"/>
      <c r="N1046" s="1479"/>
      <c r="O1046" s="1479"/>
      <c r="P1046" s="1479"/>
      <c r="Q1046" s="1479"/>
      <c r="R1046" s="1479"/>
      <c r="S1046" s="1479"/>
      <c r="T1046" s="1479"/>
      <c r="U1046" s="1479"/>
      <c r="V1046" s="1479"/>
      <c r="W1046" s="1479"/>
      <c r="X1046" s="1479"/>
      <c r="Y1046" s="1479"/>
      <c r="Z1046" s="1479"/>
      <c r="AA1046" s="1479"/>
      <c r="AB1046" s="1479"/>
      <c r="AC1046" s="1479"/>
      <c r="AD1046" s="1479"/>
      <c r="AE1046" s="1480"/>
      <c r="AF1046" s="58"/>
      <c r="AG1046" s="13"/>
      <c r="AH1046" s="13"/>
      <c r="AI1046" s="62"/>
      <c r="AJ1046" s="1261"/>
      <c r="AK1046" s="1262"/>
      <c r="AL1046" s="1262"/>
      <c r="AM1046" s="1262"/>
      <c r="AN1046" s="1262"/>
      <c r="AO1046" s="1262"/>
      <c r="AP1046" s="1262"/>
      <c r="AQ1046" s="1263"/>
      <c r="AR1046" s="1183"/>
      <c r="AS1046" s="1183"/>
      <c r="AT1046" s="1183"/>
      <c r="AU1046" s="1183"/>
      <c r="AV1046" s="1183"/>
      <c r="AW1046" s="1183"/>
      <c r="AX1046" s="1183"/>
      <c r="AY1046" s="1183"/>
    </row>
    <row r="1047" spans="1:57" ht="12.95" customHeight="1">
      <c r="A1047" s="13"/>
      <c r="B1047" s="58"/>
      <c r="C1047" s="1194"/>
      <c r="D1047" s="1478"/>
      <c r="E1047" s="1479"/>
      <c r="F1047" s="1479"/>
      <c r="G1047" s="1479"/>
      <c r="H1047" s="1479"/>
      <c r="I1047" s="1479"/>
      <c r="J1047" s="1479"/>
      <c r="K1047" s="1479"/>
      <c r="L1047" s="1479"/>
      <c r="M1047" s="1479"/>
      <c r="N1047" s="1479"/>
      <c r="O1047" s="1479"/>
      <c r="P1047" s="1479"/>
      <c r="Q1047" s="1479"/>
      <c r="R1047" s="1479"/>
      <c r="S1047" s="1479"/>
      <c r="T1047" s="1479"/>
      <c r="U1047" s="1479"/>
      <c r="V1047" s="1479"/>
      <c r="W1047" s="1479"/>
      <c r="X1047" s="1479"/>
      <c r="Y1047" s="1479"/>
      <c r="Z1047" s="1479"/>
      <c r="AA1047" s="1479"/>
      <c r="AB1047" s="1479"/>
      <c r="AC1047" s="1479"/>
      <c r="AD1047" s="1479"/>
      <c r="AE1047" s="1480"/>
      <c r="AF1047" s="58"/>
      <c r="AG1047" s="13"/>
      <c r="AH1047" s="13"/>
      <c r="AI1047" s="62"/>
      <c r="AJ1047" s="1261"/>
      <c r="AK1047" s="1262"/>
      <c r="AL1047" s="1262"/>
      <c r="AM1047" s="1262"/>
      <c r="AN1047" s="1262"/>
      <c r="AO1047" s="1262"/>
      <c r="AP1047" s="1262"/>
      <c r="AQ1047" s="1263"/>
      <c r="AR1047" s="1183"/>
      <c r="AS1047" s="1183"/>
      <c r="AT1047" s="1183"/>
      <c r="AU1047" s="1183"/>
      <c r="AV1047" s="1183"/>
      <c r="AW1047" s="1183"/>
      <c r="AX1047" s="1183"/>
      <c r="AY1047" s="1183"/>
      <c r="BA1047" s="1065">
        <f>IFERROR(('Sources and Uses Budget'!$C$17+'Sources and Uses Budget'!$C$18+'Sources and Uses Budget'!$C$22)/$AG$446,0)</f>
        <v>0</v>
      </c>
      <c r="BB1047" s="1065" t="s">
        <v>1731</v>
      </c>
      <c r="BC1047" s="1065"/>
      <c r="BD1047" s="1065"/>
      <c r="BE1047" s="1065"/>
    </row>
    <row r="1048" spans="1:57" ht="12.95" customHeight="1">
      <c r="A1048" s="13"/>
      <c r="B1048" s="58"/>
      <c r="C1048" s="1194"/>
      <c r="D1048" s="1478"/>
      <c r="E1048" s="1479"/>
      <c r="F1048" s="1479"/>
      <c r="G1048" s="1479"/>
      <c r="H1048" s="1479"/>
      <c r="I1048" s="1479"/>
      <c r="J1048" s="1479"/>
      <c r="K1048" s="1479"/>
      <c r="L1048" s="1479"/>
      <c r="M1048" s="1479"/>
      <c r="N1048" s="1479"/>
      <c r="O1048" s="1479"/>
      <c r="P1048" s="1479"/>
      <c r="Q1048" s="1479"/>
      <c r="R1048" s="1479"/>
      <c r="S1048" s="1479"/>
      <c r="T1048" s="1479"/>
      <c r="U1048" s="1479"/>
      <c r="V1048" s="1479"/>
      <c r="W1048" s="1479"/>
      <c r="X1048" s="1479"/>
      <c r="Y1048" s="1479"/>
      <c r="Z1048" s="1479"/>
      <c r="AA1048" s="1479"/>
      <c r="AB1048" s="1479"/>
      <c r="AC1048" s="1479"/>
      <c r="AD1048" s="1479"/>
      <c r="AE1048" s="1480"/>
      <c r="AF1048" s="58"/>
      <c r="AG1048" s="13"/>
      <c r="AH1048" s="13"/>
      <c r="AI1048" s="62"/>
      <c r="AJ1048" s="1261"/>
      <c r="AK1048" s="1262"/>
      <c r="AL1048" s="1262"/>
      <c r="AM1048" s="1262"/>
      <c r="AN1048" s="1262"/>
      <c r="AO1048" s="1262"/>
      <c r="AP1048" s="1262"/>
      <c r="AQ1048" s="1263"/>
      <c r="AR1048" s="1183"/>
      <c r="AS1048" s="1183"/>
      <c r="AT1048" s="1183"/>
      <c r="AU1048" s="1183"/>
      <c r="AV1048" s="1183"/>
      <c r="AW1048" s="1183"/>
      <c r="AX1048" s="1183"/>
      <c r="AY1048" s="1183"/>
      <c r="BA1048">
        <f>IFERROR((($CI$761+$CM$761)/$AG$449),0)</f>
        <v>0.75757575757575757</v>
      </c>
      <c r="BB1048" s="3" t="s">
        <v>1732</v>
      </c>
    </row>
    <row r="1049" spans="1:57" ht="12.95" customHeight="1">
      <c r="A1049" s="13"/>
      <c r="B1049" s="58"/>
      <c r="C1049" s="1194"/>
      <c r="D1049" s="1481"/>
      <c r="E1049" s="1482"/>
      <c r="F1049" s="1482"/>
      <c r="G1049" s="1482"/>
      <c r="H1049" s="1482"/>
      <c r="I1049" s="1482"/>
      <c r="J1049" s="1482"/>
      <c r="K1049" s="1482"/>
      <c r="L1049" s="1482"/>
      <c r="M1049" s="1482"/>
      <c r="N1049" s="1482"/>
      <c r="O1049" s="1482"/>
      <c r="P1049" s="1482"/>
      <c r="Q1049" s="1482"/>
      <c r="R1049" s="1482"/>
      <c r="S1049" s="1482"/>
      <c r="T1049" s="1482"/>
      <c r="U1049" s="1482"/>
      <c r="V1049" s="1482"/>
      <c r="W1049" s="1482"/>
      <c r="X1049" s="1482"/>
      <c r="Y1049" s="1482"/>
      <c r="Z1049" s="1482"/>
      <c r="AA1049" s="1482"/>
      <c r="AB1049" s="1482"/>
      <c r="AC1049" s="1482"/>
      <c r="AD1049" s="1482"/>
      <c r="AE1049" s="1483"/>
      <c r="AF1049" s="58"/>
      <c r="AG1049" s="13"/>
      <c r="AH1049" s="13"/>
      <c r="AI1049" s="62"/>
      <c r="AJ1049" s="1261"/>
      <c r="AK1049" s="1262"/>
      <c r="AL1049" s="1262"/>
      <c r="AM1049" s="1262"/>
      <c r="AN1049" s="1262"/>
      <c r="AO1049" s="1262"/>
      <c r="AP1049" s="1262"/>
      <c r="AQ1049" s="1263"/>
      <c r="AR1049" s="1183"/>
      <c r="AS1049" s="1183"/>
      <c r="AT1049" s="1183"/>
      <c r="AU1049" s="1183"/>
      <c r="AV1049" s="1183"/>
      <c r="AW1049" s="1183"/>
      <c r="AX1049" s="1183"/>
      <c r="AY1049" s="1183"/>
      <c r="BA1049" t="b">
        <f>'Points System'!AJ163="Yes"</f>
        <v>0</v>
      </c>
      <c r="BB1049" s="3" t="s">
        <v>1733</v>
      </c>
    </row>
    <row r="1050" spans="1:57" ht="12.95" customHeight="1">
      <c r="A1050" s="13"/>
      <c r="B1050" s="61"/>
      <c r="C1050" s="96" t="s">
        <v>1734</v>
      </c>
      <c r="D1050" s="1450" t="s">
        <v>1735</v>
      </c>
      <c r="E1050" s="1451"/>
      <c r="F1050" s="1451"/>
      <c r="G1050" s="1451"/>
      <c r="H1050" s="1451"/>
      <c r="I1050" s="1451"/>
      <c r="J1050" s="1451"/>
      <c r="K1050" s="1451"/>
      <c r="L1050" s="1451"/>
      <c r="M1050" s="1451"/>
      <c r="N1050" s="1451"/>
      <c r="O1050" s="1451"/>
      <c r="P1050" s="1451"/>
      <c r="Q1050" s="1451"/>
      <c r="R1050" s="1451"/>
      <c r="S1050" s="1451"/>
      <c r="T1050" s="1451"/>
      <c r="U1050" s="1451"/>
      <c r="V1050" s="1451"/>
      <c r="W1050" s="1451"/>
      <c r="X1050" s="1451"/>
      <c r="Y1050" s="1451"/>
      <c r="Z1050" s="1451"/>
      <c r="AA1050" s="1451"/>
      <c r="AB1050" s="1451"/>
      <c r="AC1050" s="1451"/>
      <c r="AD1050" s="1451"/>
      <c r="AE1050" s="1452"/>
      <c r="AF1050" s="61"/>
      <c r="AG1050" s="1467" t="s">
        <v>701</v>
      </c>
      <c r="AH1050" s="1468"/>
      <c r="AI1050" s="64"/>
      <c r="AJ1050" s="1258">
        <f>ROUND(IF(AG1050="yes",(AJ1001*0.1),0),0)</f>
        <v>0</v>
      </c>
      <c r="AK1050" s="1259"/>
      <c r="AL1050" s="1259"/>
      <c r="AM1050" s="1259"/>
      <c r="AN1050" s="1259"/>
      <c r="AO1050" s="1259"/>
      <c r="AP1050" s="1259"/>
      <c r="AQ1050" s="1260"/>
      <c r="AR1050" s="1183"/>
      <c r="AS1050" s="1183"/>
      <c r="AT1050" s="1183"/>
      <c r="AU1050" s="1183"/>
      <c r="AV1050" s="1183"/>
      <c r="AW1050" s="1183"/>
      <c r="AX1050" s="1183"/>
      <c r="AY1050" s="1183"/>
      <c r="BA1050">
        <f>Q212</f>
        <v>0</v>
      </c>
      <c r="BB1050" s="3" t="s">
        <v>1736</v>
      </c>
    </row>
    <row r="1051" spans="1:57" ht="12.95" customHeight="1">
      <c r="A1051" s="13"/>
      <c r="B1051" s="58"/>
      <c r="C1051" s="1194"/>
      <c r="D1051" s="1460" t="s">
        <v>1737</v>
      </c>
      <c r="E1051" s="1461"/>
      <c r="F1051" s="1461"/>
      <c r="G1051" s="1461"/>
      <c r="H1051" s="1461"/>
      <c r="I1051" s="1461"/>
      <c r="J1051" s="1461"/>
      <c r="K1051" s="1461"/>
      <c r="L1051" s="1461"/>
      <c r="M1051" s="1461"/>
      <c r="N1051" s="1461"/>
      <c r="O1051" s="1461"/>
      <c r="P1051" s="1461"/>
      <c r="Q1051" s="1461"/>
      <c r="R1051" s="1461"/>
      <c r="S1051" s="1461"/>
      <c r="T1051" s="1461"/>
      <c r="U1051" s="1461"/>
      <c r="V1051" s="1461"/>
      <c r="W1051" s="1461"/>
      <c r="X1051" s="1461"/>
      <c r="Y1051" s="1461"/>
      <c r="Z1051" s="1461"/>
      <c r="AA1051" s="1461"/>
      <c r="AB1051" s="1461"/>
      <c r="AC1051" s="1461"/>
      <c r="AD1051" s="1461"/>
      <c r="AE1051" s="1462"/>
      <c r="AF1051" s="58"/>
      <c r="AG1051" s="13"/>
      <c r="AH1051" s="13"/>
      <c r="AI1051" s="62"/>
      <c r="AJ1051" s="1261"/>
      <c r="AK1051" s="1262"/>
      <c r="AL1051" s="1262"/>
      <c r="AM1051" s="1262"/>
      <c r="AN1051" s="1262"/>
      <c r="AO1051" s="1262"/>
      <c r="AP1051" s="1262"/>
      <c r="AQ1051" s="1263"/>
      <c r="AR1051" s="1183"/>
      <c r="AS1051" s="1183"/>
      <c r="AT1051" s="1183"/>
      <c r="AU1051" s="1183"/>
      <c r="AV1051" s="1183"/>
      <c r="AW1051" s="1183"/>
      <c r="AX1051" s="1183"/>
      <c r="AY1051" s="1183"/>
      <c r="BA1051" s="1066">
        <f>T212</f>
        <v>0</v>
      </c>
      <c r="BB1051" s="3" t="s">
        <v>1738</v>
      </c>
    </row>
    <row r="1052" spans="1:57" ht="12.95" customHeight="1">
      <c r="A1052" s="13"/>
      <c r="B1052" s="58"/>
      <c r="C1052" s="1194"/>
      <c r="D1052" s="1460"/>
      <c r="E1052" s="1461"/>
      <c r="F1052" s="1461"/>
      <c r="G1052" s="1461"/>
      <c r="H1052" s="1461"/>
      <c r="I1052" s="1461"/>
      <c r="J1052" s="1461"/>
      <c r="K1052" s="1461"/>
      <c r="L1052" s="1461"/>
      <c r="M1052" s="1461"/>
      <c r="N1052" s="1461"/>
      <c r="O1052" s="1461"/>
      <c r="P1052" s="1461"/>
      <c r="Q1052" s="1461"/>
      <c r="R1052" s="1461"/>
      <c r="S1052" s="1461"/>
      <c r="T1052" s="1461"/>
      <c r="U1052" s="1461"/>
      <c r="V1052" s="1461"/>
      <c r="W1052" s="1461"/>
      <c r="X1052" s="1461"/>
      <c r="Y1052" s="1461"/>
      <c r="Z1052" s="1461"/>
      <c r="AA1052" s="1461"/>
      <c r="AB1052" s="1461"/>
      <c r="AC1052" s="1461"/>
      <c r="AD1052" s="1461"/>
      <c r="AE1052" s="1462"/>
      <c r="AF1052" s="58"/>
      <c r="AG1052" s="13"/>
      <c r="AH1052" s="13"/>
      <c r="AI1052" s="62"/>
      <c r="AJ1052" s="1261"/>
      <c r="AK1052" s="1262"/>
      <c r="AL1052" s="1262"/>
      <c r="AM1052" s="1262"/>
      <c r="AN1052" s="1262"/>
      <c r="AO1052" s="1262"/>
      <c r="AP1052" s="1262"/>
      <c r="AQ1052" s="1263"/>
      <c r="AR1052" s="1183"/>
      <c r="AS1052" s="1183"/>
      <c r="AT1052" s="1183"/>
      <c r="AU1052" s="1183"/>
      <c r="AV1052" s="1183"/>
      <c r="AW1052" s="1183"/>
      <c r="AX1052" s="1183"/>
      <c r="AY1052" s="1183"/>
    </row>
    <row r="1053" spans="1:57" ht="12.95" customHeight="1">
      <c r="A1053" s="13"/>
      <c r="B1053" s="58"/>
      <c r="C1053" s="1194"/>
      <c r="D1053" s="1453"/>
      <c r="E1053" s="1454"/>
      <c r="F1053" s="1454"/>
      <c r="G1053" s="1454"/>
      <c r="H1053" s="1454"/>
      <c r="I1053" s="1454"/>
      <c r="J1053" s="1454"/>
      <c r="K1053" s="1454"/>
      <c r="L1053" s="1454"/>
      <c r="M1053" s="1454"/>
      <c r="N1053" s="1454"/>
      <c r="O1053" s="1454"/>
      <c r="P1053" s="1454"/>
      <c r="Q1053" s="1454"/>
      <c r="R1053" s="1454"/>
      <c r="S1053" s="1454"/>
      <c r="T1053" s="1454"/>
      <c r="U1053" s="1454"/>
      <c r="V1053" s="1454"/>
      <c r="W1053" s="1454"/>
      <c r="X1053" s="1454"/>
      <c r="Y1053" s="1454"/>
      <c r="Z1053" s="1454"/>
      <c r="AA1053" s="1454"/>
      <c r="AB1053" s="1454"/>
      <c r="AC1053" s="1454"/>
      <c r="AD1053" s="1454"/>
      <c r="AE1053" s="1455"/>
      <c r="AF1053" s="58"/>
      <c r="AG1053" s="13"/>
      <c r="AH1053" s="13"/>
      <c r="AI1053" s="62"/>
      <c r="AJ1053" s="1264"/>
      <c r="AK1053" s="1265"/>
      <c r="AL1053" s="1265"/>
      <c r="AM1053" s="1265"/>
      <c r="AN1053" s="1265"/>
      <c r="AO1053" s="1265"/>
      <c r="AP1053" s="1265"/>
      <c r="AQ1053" s="1266"/>
      <c r="AR1053" s="1183"/>
      <c r="AS1053" s="1183"/>
      <c r="AT1053" s="1183"/>
      <c r="AU1053" s="1183"/>
      <c r="AV1053" s="1183"/>
      <c r="AW1053" s="1183"/>
      <c r="AX1053" s="1183"/>
      <c r="AY1053" s="1183"/>
    </row>
    <row r="1054" spans="1:57" ht="12.95" customHeight="1">
      <c r="A1054" s="13"/>
      <c r="B1054" s="61"/>
      <c r="C1054" s="96" t="s">
        <v>1739</v>
      </c>
      <c r="D1054" s="1438" t="s">
        <v>1740</v>
      </c>
      <c r="E1054" s="1439"/>
      <c r="F1054" s="1439"/>
      <c r="G1054" s="1439"/>
      <c r="H1054" s="1439"/>
      <c r="I1054" s="1439"/>
      <c r="J1054" s="1439"/>
      <c r="K1054" s="1439"/>
      <c r="L1054" s="1439"/>
      <c r="M1054" s="1439"/>
      <c r="N1054" s="1439"/>
      <c r="O1054" s="1439"/>
      <c r="P1054" s="1439"/>
      <c r="Q1054" s="1439"/>
      <c r="R1054" s="1439"/>
      <c r="S1054" s="1439"/>
      <c r="T1054" s="1439"/>
      <c r="U1054" s="1439"/>
      <c r="V1054" s="1439"/>
      <c r="W1054" s="1439"/>
      <c r="X1054" s="1439"/>
      <c r="Y1054" s="1439"/>
      <c r="Z1054" s="1439"/>
      <c r="AA1054" s="1439"/>
      <c r="AB1054" s="1439"/>
      <c r="AC1054" s="1439"/>
      <c r="AD1054" s="1439"/>
      <c r="AE1054" s="1440"/>
      <c r="AF1054" s="61"/>
      <c r="AG1054" s="1463" t="str">
        <f>IF(X1057&gt;0,"Yes","No")</f>
        <v>Yes</v>
      </c>
      <c r="AH1054" s="1464"/>
      <c r="AI1054" s="64"/>
      <c r="AJ1054" s="1258">
        <f>IF((X1057=0),0,AY1014*AJ1001)</f>
        <v>14798488.32</v>
      </c>
      <c r="AK1054" s="1259"/>
      <c r="AL1054" s="1259"/>
      <c r="AM1054" s="1259"/>
      <c r="AN1054" s="1259"/>
      <c r="AO1054" s="1259"/>
      <c r="AP1054" s="1259"/>
      <c r="AQ1054" s="1260"/>
      <c r="AR1054" s="1183"/>
      <c r="AS1054" s="1183"/>
      <c r="AT1054" s="1183"/>
      <c r="AU1054" s="1183"/>
      <c r="AV1054" s="1183"/>
      <c r="AW1054" s="1183"/>
      <c r="AX1054" s="1183"/>
      <c r="AY1054" s="1183"/>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1741</v>
      </c>
      <c r="BB1054" s="3"/>
      <c r="BC1054" s="3"/>
      <c r="BD1054" s="3"/>
    </row>
    <row r="1055" spans="1:57" ht="12.95" customHeight="1">
      <c r="A1055" s="13"/>
      <c r="B1055" s="58"/>
      <c r="C1055" s="345"/>
      <c r="D1055" s="1460" t="s">
        <v>1742</v>
      </c>
      <c r="E1055" s="1461"/>
      <c r="F1055" s="1461"/>
      <c r="G1055" s="1461"/>
      <c r="H1055" s="1461"/>
      <c r="I1055" s="1461"/>
      <c r="J1055" s="1461"/>
      <c r="K1055" s="1461"/>
      <c r="L1055" s="1461"/>
      <c r="M1055" s="1461"/>
      <c r="N1055" s="1461"/>
      <c r="O1055" s="1461"/>
      <c r="P1055" s="1461"/>
      <c r="Q1055" s="1461"/>
      <c r="R1055" s="1461"/>
      <c r="S1055" s="1461"/>
      <c r="T1055" s="1461"/>
      <c r="U1055" s="1461"/>
      <c r="V1055" s="1461"/>
      <c r="W1055" s="1461"/>
      <c r="X1055" s="1461"/>
      <c r="Y1055" s="1461"/>
      <c r="Z1055" s="1461"/>
      <c r="AA1055" s="1461"/>
      <c r="AB1055" s="1461"/>
      <c r="AC1055" s="1461"/>
      <c r="AD1055" s="1461"/>
      <c r="AE1055" s="1462"/>
      <c r="AF1055" s="58"/>
      <c r="AG1055" s="1200"/>
      <c r="AH1055" s="1200"/>
      <c r="AI1055" s="62"/>
      <c r="AJ1055" s="1261"/>
      <c r="AK1055" s="1262"/>
      <c r="AL1055" s="1262"/>
      <c r="AM1055" s="1262"/>
      <c r="AN1055" s="1262"/>
      <c r="AO1055" s="1262"/>
      <c r="AP1055" s="1262"/>
      <c r="AQ1055" s="1263"/>
      <c r="AR1055" s="1183"/>
      <c r="AS1055" s="1183"/>
      <c r="AT1055" s="1183"/>
      <c r="AU1055" s="12"/>
      <c r="AV1055" s="1183"/>
      <c r="AW1055" s="1183"/>
      <c r="AX1055" s="1183"/>
      <c r="AY1055" s="1183"/>
      <c r="AZ1055" s="852">
        <f>'Sources and Uses Budget'!S97*BA1055</f>
        <v>10505745.15</v>
      </c>
      <c r="BA1055" s="1064">
        <f>IF(BA1049,20%,15%)</f>
        <v>0.15</v>
      </c>
      <c r="BB1055" s="3" t="s">
        <v>1743</v>
      </c>
      <c r="BC1055" s="3" t="s">
        <v>1744</v>
      </c>
      <c r="BD1055" s="3"/>
    </row>
    <row r="1056" spans="1:57" ht="12.95" customHeight="1">
      <c r="A1056" s="13"/>
      <c r="B1056" s="58"/>
      <c r="C1056" s="345"/>
      <c r="D1056" s="1460"/>
      <c r="E1056" s="1461"/>
      <c r="F1056" s="1461"/>
      <c r="G1056" s="1461"/>
      <c r="H1056" s="1461"/>
      <c r="I1056" s="1461"/>
      <c r="J1056" s="1461"/>
      <c r="K1056" s="1461"/>
      <c r="L1056" s="1461"/>
      <c r="M1056" s="1461"/>
      <c r="N1056" s="1461"/>
      <c r="O1056" s="1461"/>
      <c r="P1056" s="1461"/>
      <c r="Q1056" s="1461"/>
      <c r="R1056" s="1461"/>
      <c r="S1056" s="1461"/>
      <c r="T1056" s="1461"/>
      <c r="U1056" s="1461"/>
      <c r="V1056" s="1461"/>
      <c r="W1056" s="1461"/>
      <c r="X1056" s="1461"/>
      <c r="Y1056" s="1461"/>
      <c r="Z1056" s="1461"/>
      <c r="AA1056" s="1461"/>
      <c r="AB1056" s="1461"/>
      <c r="AC1056" s="1461"/>
      <c r="AD1056" s="1461"/>
      <c r="AE1056" s="1462"/>
      <c r="AF1056" s="58"/>
      <c r="AG1056" s="1200"/>
      <c r="AH1056" s="1200"/>
      <c r="AI1056" s="62"/>
      <c r="AJ1056" s="1261"/>
      <c r="AK1056" s="1262"/>
      <c r="AL1056" s="1262"/>
      <c r="AM1056" s="1262"/>
      <c r="AN1056" s="1262"/>
      <c r="AO1056" s="1262"/>
      <c r="AP1056" s="1262"/>
      <c r="AQ1056" s="1263"/>
      <c r="AR1056" s="1183"/>
      <c r="AS1056" s="1183"/>
      <c r="AT1056" s="1183"/>
      <c r="AU1056" s="12"/>
      <c r="AV1056" s="1183"/>
      <c r="AW1056" s="1183"/>
      <c r="AX1056" s="1183"/>
      <c r="AY1056" s="1183"/>
      <c r="AZ1056" s="852">
        <f>IF(M365="N/A",0,'Sources and Uses Budget'!T97*BA1056)</f>
        <v>0</v>
      </c>
      <c r="BA1056" s="1064">
        <v>0.15</v>
      </c>
      <c r="BB1056" s="3" t="s">
        <v>1743</v>
      </c>
      <c r="BC1056" s="3" t="s">
        <v>1745</v>
      </c>
      <c r="BD1056" s="3"/>
    </row>
    <row r="1057" spans="1:56" ht="12.95" customHeight="1">
      <c r="A1057" s="13"/>
      <c r="B1057" s="59"/>
      <c r="C1057" s="60"/>
      <c r="D1057" s="97" t="s">
        <v>1746</v>
      </c>
      <c r="E1057" s="6"/>
      <c r="F1057" s="6"/>
      <c r="G1057" s="6"/>
      <c r="H1057" s="6"/>
      <c r="I1057" s="1465">
        <f>AY1012</f>
        <v>99</v>
      </c>
      <c r="J1057" s="1466"/>
      <c r="K1057" s="6"/>
      <c r="L1057" s="6"/>
      <c r="M1057" s="6"/>
      <c r="N1057" s="6"/>
      <c r="O1057" s="6"/>
      <c r="P1057" s="6"/>
      <c r="Q1057" s="6"/>
      <c r="R1057" s="6"/>
      <c r="S1057" s="6"/>
      <c r="T1057" s="6"/>
      <c r="U1057" s="6"/>
      <c r="V1057" s="98" t="s">
        <v>1747</v>
      </c>
      <c r="W1057" s="40"/>
      <c r="X1057" s="1463">
        <f>CI761</f>
        <v>24</v>
      </c>
      <c r="Y1057" s="1464"/>
      <c r="Z1057" s="40"/>
      <c r="AA1057" s="40"/>
      <c r="AB1057" s="40"/>
      <c r="AC1057" s="40"/>
      <c r="AD1057" s="40"/>
      <c r="AE1057" s="41"/>
      <c r="AF1057" s="816"/>
      <c r="AG1057" s="817"/>
      <c r="AH1057" s="817"/>
      <c r="AI1057" s="818"/>
      <c r="AJ1057" s="1264"/>
      <c r="AK1057" s="1265"/>
      <c r="AL1057" s="1265"/>
      <c r="AM1057" s="1265"/>
      <c r="AN1057" s="1265"/>
      <c r="AO1057" s="1265"/>
      <c r="AP1057" s="1265"/>
      <c r="AQ1057" s="1266"/>
      <c r="AR1057" s="1183"/>
      <c r="AS1057" s="1183"/>
      <c r="AT1057" s="1183"/>
      <c r="AU1057" s="13"/>
      <c r="AV1057" s="1183"/>
      <c r="AW1057" s="1183"/>
      <c r="AX1057" s="1183"/>
      <c r="AY1057" s="1183"/>
      <c r="AZ1057" s="852">
        <f>IF(M367="N/A",0,'Sources and Uses Budget'!T97*BA1057)</f>
        <v>0</v>
      </c>
      <c r="BA1057" s="1064" cm="1">
        <f t="array" ref="BA1057">_xlfn.IFS(X180="Yes",5%,$BA$1047&gt;50000,15%,BA1048&gt;=30%,15%,TRUE,5%)</f>
        <v>0.15</v>
      </c>
      <c r="BB1057" s="3" t="s">
        <v>1743</v>
      </c>
      <c r="BC1057" s="3" t="s">
        <v>1748</v>
      </c>
      <c r="BD1057" s="3"/>
    </row>
    <row r="1058" spans="1:56" ht="12.95" customHeight="1">
      <c r="A1058" s="13"/>
      <c r="B1058" s="61"/>
      <c r="C1058" s="96" t="s">
        <v>1749</v>
      </c>
      <c r="D1058" s="1450" t="s">
        <v>1750</v>
      </c>
      <c r="E1058" s="1451"/>
      <c r="F1058" s="1451"/>
      <c r="G1058" s="1451"/>
      <c r="H1058" s="1451"/>
      <c r="I1058" s="1451"/>
      <c r="J1058" s="1451"/>
      <c r="K1058" s="1451"/>
      <c r="L1058" s="1451"/>
      <c r="M1058" s="1451"/>
      <c r="N1058" s="1451"/>
      <c r="O1058" s="1451"/>
      <c r="P1058" s="1451"/>
      <c r="Q1058" s="1451"/>
      <c r="R1058" s="1451"/>
      <c r="S1058" s="1451"/>
      <c r="T1058" s="1451"/>
      <c r="U1058" s="1451"/>
      <c r="V1058" s="1451"/>
      <c r="W1058" s="1451"/>
      <c r="X1058" s="1451"/>
      <c r="Y1058" s="1451"/>
      <c r="Z1058" s="1451"/>
      <c r="AA1058" s="1451"/>
      <c r="AB1058" s="1451"/>
      <c r="AC1058" s="1451"/>
      <c r="AD1058" s="1451"/>
      <c r="AE1058" s="1452"/>
      <c r="AF1058" s="58"/>
      <c r="AG1058" s="1463" t="str">
        <f>IF(X1061&gt;0,"Yes","No")</f>
        <v>Yes</v>
      </c>
      <c r="AH1058" s="1464"/>
      <c r="AI1058" s="62"/>
      <c r="AJ1058" s="1258">
        <f>IF((X1061=0),0,(2*AY1015)*AJ1001)</f>
        <v>62893575.359999999</v>
      </c>
      <c r="AK1058" s="1259"/>
      <c r="AL1058" s="1259"/>
      <c r="AM1058" s="1259"/>
      <c r="AN1058" s="1259"/>
      <c r="AO1058" s="1259"/>
      <c r="AP1058" s="1259"/>
      <c r="AQ1058" s="1260"/>
      <c r="AR1058" s="1183"/>
      <c r="AS1058" s="1183"/>
      <c r="AT1058" s="1183"/>
      <c r="AU1058" s="13"/>
      <c r="AV1058" s="1183"/>
      <c r="AW1058" s="1183"/>
      <c r="AX1058" s="1183"/>
      <c r="AY1058" s="1183"/>
      <c r="AZ1058" s="852">
        <f>AZ1054*BA1058</f>
        <v>0</v>
      </c>
      <c r="BA1058" s="1064">
        <v>0.15</v>
      </c>
      <c r="BB1058" s="3" t="s">
        <v>1743</v>
      </c>
      <c r="BC1058" s="3" t="s">
        <v>1751</v>
      </c>
      <c r="BD1058" s="3"/>
    </row>
    <row r="1059" spans="1:56" ht="12.95" customHeight="1">
      <c r="A1059" s="13"/>
      <c r="B1059" s="58"/>
      <c r="C1059" s="345"/>
      <c r="D1059" s="1460" t="s">
        <v>1752</v>
      </c>
      <c r="E1059" s="1461"/>
      <c r="F1059" s="1461"/>
      <c r="G1059" s="1461"/>
      <c r="H1059" s="1461"/>
      <c r="I1059" s="1461"/>
      <c r="J1059" s="1461"/>
      <c r="K1059" s="1461"/>
      <c r="L1059" s="1461"/>
      <c r="M1059" s="1461"/>
      <c r="N1059" s="1461"/>
      <c r="O1059" s="1461"/>
      <c r="P1059" s="1461"/>
      <c r="Q1059" s="1461"/>
      <c r="R1059" s="1461"/>
      <c r="S1059" s="1461"/>
      <c r="T1059" s="1461"/>
      <c r="U1059" s="1461"/>
      <c r="V1059" s="1461"/>
      <c r="W1059" s="1461"/>
      <c r="X1059" s="1461"/>
      <c r="Y1059" s="1461"/>
      <c r="Z1059" s="1461"/>
      <c r="AA1059" s="1461"/>
      <c r="AB1059" s="1461"/>
      <c r="AC1059" s="1461"/>
      <c r="AD1059" s="1461"/>
      <c r="AE1059" s="1462"/>
      <c r="AF1059" s="58"/>
      <c r="AG1059" s="1200"/>
      <c r="AH1059" s="1200"/>
      <c r="AI1059" s="62"/>
      <c r="AJ1059" s="1261"/>
      <c r="AK1059" s="1262"/>
      <c r="AL1059" s="1262"/>
      <c r="AM1059" s="1262"/>
      <c r="AN1059" s="1262"/>
      <c r="AO1059" s="1262"/>
      <c r="AP1059" s="1262"/>
      <c r="AQ1059" s="1263"/>
      <c r="AR1059" s="1183"/>
      <c r="AS1059" s="1183"/>
      <c r="AT1059" s="1183"/>
      <c r="AU1059" s="1183"/>
      <c r="AV1059" s="1183"/>
      <c r="AW1059" s="1183"/>
      <c r="AX1059" s="1183"/>
      <c r="AY1059" s="1183"/>
      <c r="AZ1059" s="852"/>
      <c r="BA1059" s="3"/>
      <c r="BB1059" s="3"/>
      <c r="BC1059" s="3"/>
      <c r="BD1059" s="3"/>
    </row>
    <row r="1060" spans="1:56" ht="12.95" customHeight="1">
      <c r="A1060" s="13"/>
      <c r="B1060" s="58"/>
      <c r="C1060" s="62"/>
      <c r="D1060" s="1460"/>
      <c r="E1060" s="1461"/>
      <c r="F1060" s="1461"/>
      <c r="G1060" s="1461"/>
      <c r="H1060" s="1461"/>
      <c r="I1060" s="1461"/>
      <c r="J1060" s="1461"/>
      <c r="K1060" s="1461"/>
      <c r="L1060" s="1461"/>
      <c r="M1060" s="1461"/>
      <c r="N1060" s="1461"/>
      <c r="O1060" s="1461"/>
      <c r="P1060" s="1461"/>
      <c r="Q1060" s="1461"/>
      <c r="R1060" s="1461"/>
      <c r="S1060" s="1461"/>
      <c r="T1060" s="1461"/>
      <c r="U1060" s="1461"/>
      <c r="V1060" s="1461"/>
      <c r="W1060" s="1461"/>
      <c r="X1060" s="1461"/>
      <c r="Y1060" s="1461"/>
      <c r="Z1060" s="1461"/>
      <c r="AA1060" s="1461"/>
      <c r="AB1060" s="1461"/>
      <c r="AC1060" s="1461"/>
      <c r="AD1060" s="1461"/>
      <c r="AE1060" s="1462"/>
      <c r="AF1060" s="813"/>
      <c r="AG1060" s="814"/>
      <c r="AH1060" s="814"/>
      <c r="AI1060" s="815"/>
      <c r="AJ1060" s="1261"/>
      <c r="AK1060" s="1262"/>
      <c r="AL1060" s="1262"/>
      <c r="AM1060" s="1262"/>
      <c r="AN1060" s="1262"/>
      <c r="AO1060" s="1262"/>
      <c r="AP1060" s="1262"/>
      <c r="AQ1060" s="1263"/>
      <c r="AR1060" s="1183"/>
      <c r="AS1060" s="1183"/>
      <c r="AT1060" s="1183"/>
      <c r="AU1060" s="1183"/>
      <c r="AV1060" s="1183"/>
      <c r="AW1060" s="1183"/>
      <c r="AX1060" s="1183"/>
      <c r="AY1060" s="1183"/>
      <c r="AZ1060" s="852">
        <f>ROUNDDOWN(MIN(SUM(AZ1055,AZ1056,AZ1057,AZ1058),BD1060),0)</f>
        <v>2500000</v>
      </c>
      <c r="BA1060" s="3" t="s">
        <v>1753</v>
      </c>
      <c r="BB1060" s="3"/>
      <c r="BC1060" s="3"/>
      <c r="BD1060" s="3" cm="1">
        <f t="array" ref="BD1060">_xlfn.IFS(BA1049,3000000,AND(BA1050&gt;=25%,BA1051&gt;=15),2800000,TRUE,2500000)</f>
        <v>2500000</v>
      </c>
    </row>
    <row r="1061" spans="1:56" ht="12.95" customHeight="1">
      <c r="A1061" s="13"/>
      <c r="B1061" s="59"/>
      <c r="C1061" s="60"/>
      <c r="D1061" s="97" t="s">
        <v>1746</v>
      </c>
      <c r="E1061" s="6"/>
      <c r="F1061" s="6"/>
      <c r="G1061" s="6"/>
      <c r="H1061" s="6"/>
      <c r="I1061" s="1465">
        <f>AY1012</f>
        <v>99</v>
      </c>
      <c r="J1061" s="1466"/>
      <c r="K1061" s="13"/>
      <c r="L1061" s="6"/>
      <c r="M1061" s="6"/>
      <c r="N1061" s="6"/>
      <c r="O1061" s="6"/>
      <c r="P1061" s="6"/>
      <c r="Q1061" s="6"/>
      <c r="R1061" s="6"/>
      <c r="S1061" s="6"/>
      <c r="T1061" s="6"/>
      <c r="U1061" s="6"/>
      <c r="V1061" s="98" t="s">
        <v>1754</v>
      </c>
      <c r="X1061" s="1463">
        <f>CM761</f>
        <v>51</v>
      </c>
      <c r="Y1061" s="1464"/>
      <c r="AF1061" s="816"/>
      <c r="AG1061" s="817"/>
      <c r="AH1061" s="817"/>
      <c r="AI1061" s="818"/>
      <c r="AJ1061" s="1264"/>
      <c r="AK1061" s="1265"/>
      <c r="AL1061" s="1265"/>
      <c r="AM1061" s="1265"/>
      <c r="AN1061" s="1265"/>
      <c r="AO1061" s="1265"/>
      <c r="AP1061" s="1265"/>
      <c r="AQ1061" s="1266"/>
      <c r="AR1061" s="1183"/>
      <c r="AS1061" s="1183"/>
      <c r="AT1061" s="1183"/>
      <c r="AU1061" s="1183"/>
      <c r="AV1061" s="1183"/>
      <c r="AW1061" s="1183"/>
      <c r="AX1061" s="1183"/>
      <c r="AY1061" s="1183"/>
      <c r="AZ1061" s="852">
        <f>ROUNDDOWN(MAX(0,BA1061*(SUM(AG1102,AL1102,AZ1054)-BD1061))+BF1061,0)</f>
        <v>0</v>
      </c>
      <c r="BA1061" s="1064">
        <f>IF(L1051,7%,5%)</f>
        <v>0.05</v>
      </c>
      <c r="BB1061" s="3" t="s">
        <v>1755</v>
      </c>
      <c r="BC1061" s="3"/>
      <c r="BD1061" s="3">
        <v>6666667</v>
      </c>
    </row>
    <row r="1062" spans="1:56" ht="12.95" customHeight="1">
      <c r="A1062" s="13"/>
      <c r="B1062" s="77"/>
      <c r="C1062" s="1201"/>
      <c r="D1062" s="1458" t="s">
        <v>1756</v>
      </c>
      <c r="E1062" s="1458"/>
      <c r="F1062" s="1458"/>
      <c r="G1062" s="1458"/>
      <c r="H1062" s="1458"/>
      <c r="I1062" s="1458"/>
      <c r="J1062" s="1458"/>
      <c r="K1062" s="1458"/>
      <c r="L1062" s="1458"/>
      <c r="M1062" s="1458"/>
      <c r="N1062" s="1458"/>
      <c r="O1062" s="1458"/>
      <c r="P1062" s="1458"/>
      <c r="Q1062" s="1458"/>
      <c r="R1062" s="1458"/>
      <c r="S1062" s="1458"/>
      <c r="T1062" s="1458"/>
      <c r="U1062" s="1458"/>
      <c r="V1062" s="1458"/>
      <c r="W1062" s="1458"/>
      <c r="X1062" s="1458"/>
      <c r="Y1062" s="1458"/>
      <c r="Z1062" s="1458"/>
      <c r="AA1062" s="1458"/>
      <c r="AB1062" s="1458"/>
      <c r="AC1062" s="1458"/>
      <c r="AD1062" s="1458"/>
      <c r="AE1062" s="1458"/>
      <c r="AF1062" s="1458"/>
      <c r="AG1062" s="1458"/>
      <c r="AH1062" s="1458"/>
      <c r="AI1062" s="1459"/>
      <c r="AJ1062" s="1475">
        <f>SUM(AJ1001:AQ1061)</f>
        <v>165780233.27999997</v>
      </c>
      <c r="AK1062" s="1476"/>
      <c r="AL1062" s="1476"/>
      <c r="AM1062" s="1476"/>
      <c r="AN1062" s="1476"/>
      <c r="AO1062" s="1476"/>
      <c r="AP1062" s="1476"/>
      <c r="AQ1062" s="1477"/>
      <c r="AR1062" s="1183"/>
      <c r="AS1062" s="1183"/>
      <c r="AT1062" s="1183"/>
      <c r="AU1062" s="1183"/>
      <c r="AV1062" s="1183"/>
      <c r="AW1062" s="1183"/>
      <c r="AX1062" s="1183"/>
      <c r="AY1062" s="1183"/>
      <c r="AZ1062" s="1063">
        <v>6000000</v>
      </c>
      <c r="BA1062" s="3" t="s">
        <v>1757</v>
      </c>
      <c r="BB1062" s="3"/>
      <c r="BC1062" s="3"/>
      <c r="BD1062" s="3"/>
    </row>
    <row r="1063" spans="1:56" ht="12.95" customHeight="1">
      <c r="A1063" s="13"/>
      <c r="B1063" s="13"/>
      <c r="C1063" s="1202"/>
      <c r="D1063" s="1203"/>
      <c r="E1063" s="1203"/>
      <c r="F1063" s="1203"/>
      <c r="G1063" s="1203"/>
      <c r="H1063" s="1203"/>
      <c r="I1063" s="1203"/>
      <c r="J1063" s="1203"/>
      <c r="K1063" s="1203"/>
      <c r="L1063" s="1203"/>
      <c r="M1063" s="1203"/>
      <c r="N1063" s="1203"/>
      <c r="O1063" s="1203"/>
      <c r="P1063" s="1203"/>
      <c r="Q1063" s="1203"/>
      <c r="R1063" s="1203"/>
      <c r="S1063" s="1203"/>
      <c r="T1063" s="1204"/>
      <c r="U1063" s="1204"/>
      <c r="V1063" s="1204"/>
      <c r="W1063" s="1204"/>
      <c r="X1063" s="1204"/>
      <c r="Y1063" s="1204"/>
      <c r="Z1063" s="1204"/>
      <c r="AA1063" s="1204"/>
      <c r="AB1063" s="1204"/>
      <c r="AC1063" s="1204"/>
      <c r="AD1063" s="139"/>
      <c r="AE1063" s="139"/>
      <c r="AF1063" s="139"/>
      <c r="AG1063" s="139"/>
      <c r="AH1063" s="139"/>
      <c r="AI1063" s="139"/>
      <c r="AJ1063" s="139"/>
      <c r="AK1063" s="139"/>
      <c r="AL1063" s="1183"/>
      <c r="AM1063" s="1183"/>
      <c r="AN1063" s="1183"/>
      <c r="AO1063" s="1183"/>
      <c r="AP1063" s="1183"/>
      <c r="AQ1063" s="1183"/>
      <c r="AR1063" s="1183"/>
      <c r="AS1063" s="1183"/>
      <c r="AT1063" s="1183"/>
      <c r="AU1063" s="1183"/>
      <c r="AV1063" s="1183"/>
      <c r="AW1063" s="1183"/>
      <c r="AX1063" s="1183"/>
      <c r="AY1063" s="1183"/>
      <c r="AZ1063" s="3"/>
      <c r="BA1063" s="3"/>
      <c r="BB1063" s="3"/>
      <c r="BC1063" s="3"/>
      <c r="BD1063" s="3"/>
    </row>
    <row r="1064" spans="1:56" ht="12.95" customHeight="1">
      <c r="A1064" s="13"/>
      <c r="B1064" s="1183"/>
      <c r="C1064" s="1183"/>
      <c r="D1064" s="1183"/>
      <c r="E1064" s="1183"/>
      <c r="F1064" s="1183"/>
      <c r="G1064" s="1055" t="s">
        <v>1758</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3"/>
      <c r="AP1064" s="1183"/>
      <c r="AQ1064" s="1183"/>
      <c r="AR1064" s="1183"/>
      <c r="AS1064" s="1183"/>
      <c r="AT1064" s="1183"/>
      <c r="AU1064" s="1183"/>
      <c r="AV1064" s="1183"/>
      <c r="AW1064" s="1183"/>
      <c r="AX1064" s="1183"/>
      <c r="AY1064" s="1183"/>
      <c r="AZ1064" s="3"/>
      <c r="BA1064" s="852">
        <f>MIN(MIN(MAX(AZ1060,AZ1061),AZ1062),BA1065)</f>
        <v>2500000</v>
      </c>
      <c r="BB1064" s="3" t="s">
        <v>1759</v>
      </c>
      <c r="BC1064" s="3"/>
      <c r="BD1064" s="3"/>
    </row>
    <row r="1065" spans="1:56" ht="12.95" customHeight="1">
      <c r="A1065" s="13"/>
      <c r="B1065" s="1183"/>
      <c r="C1065" s="1183"/>
      <c r="D1065" s="1183"/>
      <c r="E1065" s="1183"/>
      <c r="F1065" s="1183"/>
      <c r="G1065" s="1058" t="s">
        <v>1760</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20">
        <f>'Sources and Uses Budget'!S107+'Sources and Uses Budget'!T107</f>
        <v>75038301</v>
      </c>
      <c r="AB1065" s="1720"/>
      <c r="AC1065" s="1720"/>
      <c r="AD1065" s="1720"/>
      <c r="AE1065" s="1720"/>
      <c r="AF1065" s="1720"/>
      <c r="AG1065" s="1057"/>
      <c r="AH1065" s="1057"/>
      <c r="AI1065" s="1057"/>
      <c r="AJ1065" s="1057"/>
      <c r="AK1065" s="1057"/>
      <c r="AL1065" s="1057"/>
      <c r="AM1065" s="1057"/>
      <c r="AN1065" s="1057"/>
      <c r="AO1065" s="1183"/>
      <c r="AP1065" s="1183"/>
      <c r="AQ1065" s="1183"/>
      <c r="AR1065" s="1183"/>
      <c r="AS1065" s="1183"/>
      <c r="AT1065" s="1183"/>
      <c r="AU1065" s="1183"/>
      <c r="AV1065" s="12"/>
      <c r="AW1065" s="12"/>
      <c r="AX1065" s="12"/>
      <c r="AY1065" s="12"/>
      <c r="AZ1065" s="3"/>
      <c r="BA1065" s="852">
        <f>SUM(AZ1055:AZ1058)</f>
        <v>10505745.15</v>
      </c>
      <c r="BB1065" s="3" t="s">
        <v>1761</v>
      </c>
      <c r="BC1065" s="3"/>
      <c r="BD1065" s="3"/>
    </row>
    <row r="1066" spans="1:56" ht="12.95" customHeight="1">
      <c r="A1066" s="13"/>
      <c r="B1066" s="1183"/>
      <c r="C1066" s="1183"/>
      <c r="D1066" s="1183"/>
      <c r="E1066" s="1183"/>
      <c r="F1066" s="1183"/>
      <c r="G1066" s="1058"/>
      <c r="H1066" s="1058" t="s">
        <v>1762</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21">
        <f>IFERROR((AA1065-BA1068)/(AJ1062-AJ1054-AJ1058),"")</f>
        <v>0.8234738141272494</v>
      </c>
      <c r="AB1066" s="1722"/>
      <c r="AC1066" s="1722"/>
      <c r="AD1066" s="1722"/>
      <c r="AE1066" s="1722"/>
      <c r="AF1066" s="1723"/>
      <c r="AG1066" s="1060"/>
      <c r="AH1066" s="1057"/>
      <c r="AI1066" s="1057"/>
      <c r="AJ1066" s="1057"/>
      <c r="AK1066" s="1057"/>
      <c r="AL1066" s="1057"/>
      <c r="AM1066" s="1057"/>
      <c r="AN1066" s="1057"/>
      <c r="AO1066" s="1183"/>
      <c r="AP1066" s="1183"/>
      <c r="AQ1066" s="1183"/>
      <c r="AR1066" s="1183"/>
      <c r="AS1066" s="1183"/>
      <c r="AT1066" s="1183"/>
      <c r="AU1066" s="1183"/>
      <c r="AV1066" s="12"/>
      <c r="AW1066" s="12"/>
      <c r="AX1066" s="12"/>
      <c r="AY1066" s="12"/>
    </row>
    <row r="1067" spans="1:56" ht="12.95" customHeight="1">
      <c r="A1067" s="13"/>
      <c r="B1067" s="1183"/>
      <c r="C1067" s="1183"/>
      <c r="D1067" s="1183"/>
      <c r="E1067" s="1183"/>
      <c r="F1067" s="1183"/>
      <c r="G1067" s="172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24"/>
      <c r="I1067" s="1724"/>
      <c r="J1067" s="1724"/>
      <c r="K1067" s="1724"/>
      <c r="L1067" s="1724"/>
      <c r="M1067" s="1724"/>
      <c r="N1067" s="1724"/>
      <c r="O1067" s="1724"/>
      <c r="P1067" s="1724"/>
      <c r="Q1067" s="1724"/>
      <c r="R1067" s="1724"/>
      <c r="S1067" s="1724"/>
      <c r="T1067" s="1724"/>
      <c r="U1067" s="1724"/>
      <c r="V1067" s="1724"/>
      <c r="W1067" s="1724"/>
      <c r="X1067" s="1724"/>
      <c r="Y1067" s="1724"/>
      <c r="Z1067" s="1724"/>
      <c r="AA1067" s="1724"/>
      <c r="AB1067" s="1724"/>
      <c r="AC1067" s="1724"/>
      <c r="AD1067" s="1724"/>
      <c r="AE1067" s="1724"/>
      <c r="AF1067" s="1724"/>
      <c r="AG1067" s="1724"/>
      <c r="AH1067" s="1724"/>
      <c r="AI1067" s="1724"/>
      <c r="AJ1067" s="1724"/>
      <c r="AK1067" s="1724"/>
      <c r="AL1067" s="1724"/>
      <c r="AM1067" s="1724"/>
      <c r="AN1067" s="1724"/>
      <c r="AO1067" s="1183"/>
      <c r="AP1067" s="1183"/>
      <c r="AQ1067" s="1183"/>
      <c r="AR1067" s="1183"/>
      <c r="AS1067" s="1183"/>
      <c r="AT1067" s="1183"/>
      <c r="AU1067" s="1183"/>
      <c r="AV1067" s="13"/>
      <c r="AW1067" s="13"/>
      <c r="AX1067" s="13"/>
      <c r="AY1067" s="13"/>
      <c r="BA1067" s="1067">
        <f>'Sources and Uses Budget'!$S$104+'Sources and Uses Budget'!$T$104</f>
        <v>5000000</v>
      </c>
      <c r="BB1067" s="3" t="s">
        <v>1763</v>
      </c>
    </row>
    <row r="1068" spans="1:56" ht="12.95" customHeight="1">
      <c r="A1068" s="13"/>
      <c r="B1068" s="13"/>
      <c r="C1068" s="1202"/>
      <c r="D1068" s="1205"/>
      <c r="E1068" s="1205"/>
      <c r="F1068" s="1205"/>
      <c r="G1068" s="1724"/>
      <c r="H1068" s="1724"/>
      <c r="I1068" s="1724"/>
      <c r="J1068" s="1724"/>
      <c r="K1068" s="1724"/>
      <c r="L1068" s="1724"/>
      <c r="M1068" s="1724"/>
      <c r="N1068" s="1724"/>
      <c r="O1068" s="1724"/>
      <c r="P1068" s="1724"/>
      <c r="Q1068" s="1724"/>
      <c r="R1068" s="1724"/>
      <c r="S1068" s="1724"/>
      <c r="T1068" s="1724"/>
      <c r="U1068" s="1724"/>
      <c r="V1068" s="1724"/>
      <c r="W1068" s="1724"/>
      <c r="X1068" s="1724"/>
      <c r="Y1068" s="1724"/>
      <c r="Z1068" s="1724"/>
      <c r="AA1068" s="1724"/>
      <c r="AB1068" s="1724"/>
      <c r="AC1068" s="1724"/>
      <c r="AD1068" s="1724"/>
      <c r="AE1068" s="1724"/>
      <c r="AF1068" s="1724"/>
      <c r="AG1068" s="1724"/>
      <c r="AH1068" s="1724"/>
      <c r="AI1068" s="1724"/>
      <c r="AJ1068" s="1724"/>
      <c r="AK1068" s="1724"/>
      <c r="AL1068" s="1724"/>
      <c r="AM1068" s="1724"/>
      <c r="AN1068" s="1724"/>
      <c r="AO1068" s="1183"/>
      <c r="AP1068" s="1183"/>
      <c r="AQ1068" s="1183"/>
      <c r="AR1068" s="1183"/>
      <c r="AS1068" s="1183"/>
      <c r="AT1068" s="1183"/>
      <c r="AU1068" s="1183"/>
      <c r="AV1068" s="13"/>
      <c r="AW1068" s="13"/>
      <c r="AX1068" s="13"/>
      <c r="AY1068" s="13"/>
      <c r="BA1068" s="1068">
        <f>MAX($BA$1067-$BA$1064,0)</f>
        <v>2500000</v>
      </c>
      <c r="BB1068" s="3" t="s">
        <v>1764</v>
      </c>
    </row>
    <row r="1069" spans="1:56" ht="12.95" customHeight="1">
      <c r="A1069" s="1206"/>
      <c r="B1069" s="1054"/>
      <c r="C1069" s="1054"/>
      <c r="D1069" s="1054"/>
      <c r="E1069" s="1054"/>
      <c r="F1069" s="1054"/>
      <c r="G1069" s="1724"/>
      <c r="H1069" s="1724"/>
      <c r="I1069" s="1724"/>
      <c r="J1069" s="1724"/>
      <c r="K1069" s="1724"/>
      <c r="L1069" s="1724"/>
      <c r="M1069" s="1724"/>
      <c r="N1069" s="1724"/>
      <c r="O1069" s="1724"/>
      <c r="P1069" s="1724"/>
      <c r="Q1069" s="1724"/>
      <c r="R1069" s="1724"/>
      <c r="S1069" s="1724"/>
      <c r="T1069" s="1724"/>
      <c r="U1069" s="1724"/>
      <c r="V1069" s="1724"/>
      <c r="W1069" s="1724"/>
      <c r="X1069" s="1724"/>
      <c r="Y1069" s="1724"/>
      <c r="Z1069" s="1724"/>
      <c r="AA1069" s="1724"/>
      <c r="AB1069" s="1724"/>
      <c r="AC1069" s="1724"/>
      <c r="AD1069" s="1724"/>
      <c r="AE1069" s="1724"/>
      <c r="AF1069" s="1724"/>
      <c r="AG1069" s="1724"/>
      <c r="AH1069" s="1724"/>
      <c r="AI1069" s="1724"/>
      <c r="AJ1069" s="1724"/>
      <c r="AK1069" s="1724"/>
      <c r="AL1069" s="1724"/>
      <c r="AM1069" s="1724"/>
      <c r="AN1069" s="1724"/>
      <c r="AO1069" s="1054"/>
      <c r="AP1069" s="1054"/>
      <c r="AQ1069" s="1183"/>
      <c r="AR1069" s="1183"/>
      <c r="AS1069" s="1183"/>
      <c r="AT1069" s="1183"/>
      <c r="AU1069" s="1183"/>
      <c r="AV1069" s="1183"/>
      <c r="AW1069" s="1183"/>
      <c r="AX1069" s="1183"/>
      <c r="AY1069" s="1183"/>
    </row>
    <row r="1070" spans="1:56" ht="12.95" customHeight="1">
      <c r="A1070" s="1235" t="s">
        <v>1765</v>
      </c>
      <c r="B1070" s="1235"/>
      <c r="C1070" s="1235"/>
      <c r="D1070" s="1235"/>
      <c r="E1070" s="1235"/>
      <c r="F1070" s="1235"/>
      <c r="G1070" s="1235"/>
      <c r="H1070" s="1235"/>
      <c r="I1070" s="1235"/>
      <c r="J1070" s="1235"/>
      <c r="K1070" s="1235"/>
      <c r="L1070" s="1235"/>
      <c r="M1070" s="1235"/>
      <c r="N1070" s="1235"/>
      <c r="O1070" s="1235"/>
      <c r="P1070" s="1235"/>
      <c r="Q1070" s="1235"/>
      <c r="R1070" s="1235"/>
      <c r="S1070" s="1235"/>
      <c r="T1070" s="1235"/>
      <c r="U1070" s="1235"/>
      <c r="V1070" s="1235"/>
      <c r="W1070" s="1235"/>
      <c r="X1070" s="1235"/>
      <c r="Y1070" s="1235"/>
      <c r="Z1070" s="1235"/>
      <c r="AA1070" s="1235"/>
      <c r="AB1070" s="1235"/>
      <c r="AC1070" s="1235"/>
      <c r="AD1070" s="1235"/>
      <c r="AE1070" s="1235"/>
      <c r="AF1070" s="1235"/>
      <c r="AG1070" s="1235"/>
      <c r="AH1070" s="1235"/>
      <c r="AI1070" s="1235"/>
      <c r="AJ1070" s="1235"/>
      <c r="AK1070" s="1235"/>
      <c r="AL1070" s="1235"/>
      <c r="AM1070" s="1235"/>
      <c r="AN1070" s="1235"/>
      <c r="AO1070" s="1235"/>
      <c r="AP1070" s="1235"/>
      <c r="AQ1070" s="1235"/>
      <c r="AR1070" s="12"/>
      <c r="AS1070" s="12"/>
      <c r="AT1070" s="12"/>
      <c r="AV1070" s="1183"/>
      <c r="AW1070" s="1183"/>
      <c r="AX1070" s="1183"/>
      <c r="AY1070" s="1183"/>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3"/>
      <c r="AW1071" s="1183"/>
      <c r="AX1071" s="1183"/>
      <c r="AY1071" s="1183"/>
    </row>
    <row r="1072" spans="1:56" ht="12.95" customHeight="1">
      <c r="A1072" s="49" t="s">
        <v>1766</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3"/>
      <c r="AW1072" s="1183"/>
      <c r="AX1072" s="1183"/>
      <c r="AY1072" s="1183"/>
    </row>
    <row r="1073" spans="1:51" ht="12.95" customHeight="1">
      <c r="A1073" s="133" t="s">
        <v>1767</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3"/>
      <c r="AW1073" s="1183"/>
      <c r="AX1073" s="1183"/>
      <c r="AY1073" s="1183"/>
    </row>
    <row r="1074" spans="1:51" ht="12.95" customHeight="1">
      <c r="A1074" s="1229" t="s">
        <v>862</v>
      </c>
      <c r="B1074" s="1229"/>
      <c r="C1074" s="1230">
        <v>1</v>
      </c>
      <c r="D1074" s="1230"/>
      <c r="E1074" s="13" t="s">
        <v>1768</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3"/>
      <c r="AW1074" s="1183"/>
      <c r="AX1074" s="1183"/>
      <c r="AY1074" s="1183"/>
    </row>
    <row r="1075" spans="1:51" ht="12.95" customHeight="1">
      <c r="A1075" s="133"/>
      <c r="B1075" s="13"/>
      <c r="C1075" s="1230"/>
      <c r="D1075" s="1230"/>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3"/>
      <c r="AW1075" s="1183"/>
      <c r="AX1075" s="1183"/>
      <c r="AY1075" s="1183"/>
    </row>
    <row r="1076" spans="1:51" ht="12.95" customHeight="1">
      <c r="A1076" s="1229" t="s">
        <v>826</v>
      </c>
      <c r="B1076" s="1229"/>
      <c r="C1076" s="1230">
        <v>2</v>
      </c>
      <c r="D1076" s="1230"/>
      <c r="E1076" s="1233" t="s">
        <v>1769</v>
      </c>
      <c r="F1076" s="1233"/>
      <c r="G1076" s="1233"/>
      <c r="H1076" s="1233"/>
      <c r="I1076" s="1233"/>
      <c r="J1076" s="1233"/>
      <c r="K1076" s="1233"/>
      <c r="L1076" s="1233"/>
      <c r="M1076" s="1233"/>
      <c r="N1076" s="1233"/>
      <c r="O1076" s="1233"/>
      <c r="P1076" s="1233"/>
      <c r="Q1076" s="1233"/>
      <c r="R1076" s="1233"/>
      <c r="S1076" s="1233"/>
      <c r="T1076" s="1233"/>
      <c r="U1076" s="1233"/>
      <c r="V1076" s="1233"/>
      <c r="W1076" s="1233"/>
      <c r="X1076" s="1233"/>
      <c r="Y1076" s="1233"/>
      <c r="Z1076" s="1233"/>
      <c r="AA1076" s="1233"/>
      <c r="AB1076" s="1233"/>
      <c r="AC1076" s="1233"/>
      <c r="AD1076" s="1233"/>
      <c r="AE1076" s="1233"/>
      <c r="AF1076" s="1233"/>
      <c r="AG1076" s="1233"/>
      <c r="AH1076" s="1233"/>
      <c r="AI1076" s="1233"/>
      <c r="AJ1076" s="1233"/>
      <c r="AK1076" s="1233"/>
      <c r="AL1076" s="1233"/>
      <c r="AM1076" s="1233"/>
      <c r="AN1076" s="1233"/>
      <c r="AO1076" s="1233"/>
      <c r="AP1076" s="1233"/>
      <c r="AQ1076" s="1233"/>
      <c r="AR1076" s="1233"/>
      <c r="AS1076" s="13"/>
      <c r="AT1076" s="13"/>
      <c r="AV1076" s="1183"/>
      <c r="AW1076" s="1183"/>
      <c r="AX1076" s="1183"/>
      <c r="AY1076" s="1183"/>
    </row>
    <row r="1077" spans="1:51" ht="12.95" customHeight="1">
      <c r="A1077" s="133"/>
      <c r="B1077" s="13"/>
      <c r="C1077" s="1230"/>
      <c r="D1077" s="1230"/>
      <c r="E1077" s="1233"/>
      <c r="F1077" s="1233"/>
      <c r="G1077" s="1233"/>
      <c r="H1077" s="1233"/>
      <c r="I1077" s="1233"/>
      <c r="J1077" s="1233"/>
      <c r="K1077" s="1233"/>
      <c r="L1077" s="1233"/>
      <c r="M1077" s="1233"/>
      <c r="N1077" s="1233"/>
      <c r="O1077" s="1233"/>
      <c r="P1077" s="1233"/>
      <c r="Q1077" s="1233"/>
      <c r="R1077" s="1233"/>
      <c r="S1077" s="1233"/>
      <c r="T1077" s="1233"/>
      <c r="U1077" s="1233"/>
      <c r="V1077" s="1233"/>
      <c r="W1077" s="1233"/>
      <c r="X1077" s="1233"/>
      <c r="Y1077" s="1233"/>
      <c r="Z1077" s="1233"/>
      <c r="AA1077" s="1233"/>
      <c r="AB1077" s="1233"/>
      <c r="AC1077" s="1233"/>
      <c r="AD1077" s="1233"/>
      <c r="AE1077" s="1233"/>
      <c r="AF1077" s="1233"/>
      <c r="AG1077" s="1233"/>
      <c r="AH1077" s="1233"/>
      <c r="AI1077" s="1233"/>
      <c r="AJ1077" s="1233"/>
      <c r="AK1077" s="1233"/>
      <c r="AL1077" s="1233"/>
      <c r="AM1077" s="1233"/>
      <c r="AN1077" s="1233"/>
      <c r="AO1077" s="1233"/>
      <c r="AP1077" s="1233"/>
      <c r="AQ1077" s="1233"/>
      <c r="AR1077" s="1233"/>
      <c r="AS1077" s="13"/>
      <c r="AT1077" s="13"/>
      <c r="AV1077" s="1183"/>
      <c r="AW1077" s="1183"/>
      <c r="AX1077" s="1183"/>
      <c r="AY1077" s="1183"/>
    </row>
    <row r="1078" spans="1:51" ht="12.95" customHeight="1">
      <c r="A1078" s="133"/>
      <c r="B1078" s="13"/>
      <c r="C1078" s="1230"/>
      <c r="D1078" s="1230"/>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3"/>
      <c r="AW1078" s="1183"/>
      <c r="AX1078" s="1183"/>
      <c r="AY1078" s="1183"/>
    </row>
    <row r="1079" spans="1:51" ht="12.95" customHeight="1">
      <c r="A1079" s="1229" t="s">
        <v>862</v>
      </c>
      <c r="B1079" s="1229"/>
      <c r="C1079" s="1232">
        <v>3</v>
      </c>
      <c r="D1079" s="1232"/>
      <c r="E1079" s="1234" t="s">
        <v>1770</v>
      </c>
      <c r="F1079" s="1234"/>
      <c r="G1079" s="1234"/>
      <c r="H1079" s="1234"/>
      <c r="I1079" s="1234"/>
      <c r="J1079" s="1234"/>
      <c r="K1079" s="1234"/>
      <c r="L1079" s="1234"/>
      <c r="M1079" s="1234"/>
      <c r="N1079" s="1234"/>
      <c r="O1079" s="1234"/>
      <c r="P1079" s="1234"/>
      <c r="Q1079" s="1234"/>
      <c r="R1079" s="1234"/>
      <c r="S1079" s="1234"/>
      <c r="T1079" s="1234"/>
      <c r="U1079" s="1234"/>
      <c r="V1079" s="1234"/>
      <c r="W1079" s="1234"/>
      <c r="X1079" s="1234"/>
      <c r="Y1079" s="1234"/>
      <c r="Z1079" s="1234"/>
      <c r="AA1079" s="1234"/>
      <c r="AB1079" s="1234"/>
      <c r="AC1079" s="1234"/>
      <c r="AD1079" s="1234"/>
      <c r="AE1079" s="1234"/>
      <c r="AF1079" s="1234"/>
      <c r="AG1079" s="1234"/>
      <c r="AH1079" s="1234"/>
      <c r="AI1079" s="1234"/>
      <c r="AJ1079" s="1234"/>
      <c r="AK1079" s="1234"/>
      <c r="AL1079" s="1234"/>
      <c r="AM1079" s="1234"/>
      <c r="AN1079" s="1234"/>
      <c r="AO1079" s="1234"/>
      <c r="AP1079" s="1234"/>
      <c r="AQ1079" s="1234"/>
      <c r="AR1079" s="1234"/>
      <c r="AS1079" s="13"/>
      <c r="AT1079" s="1183"/>
      <c r="AV1079" s="1183"/>
      <c r="AW1079" s="1183"/>
      <c r="AX1079" s="1183"/>
      <c r="AY1079" s="1183"/>
    </row>
    <row r="1080" spans="1:51" ht="12.95" customHeight="1">
      <c r="A1080" s="1"/>
      <c r="B1080" s="1"/>
      <c r="C1080" s="1232"/>
      <c r="D1080" s="1232"/>
      <c r="E1080" s="1234"/>
      <c r="F1080" s="1234"/>
      <c r="G1080" s="1234"/>
      <c r="H1080" s="1234"/>
      <c r="I1080" s="1234"/>
      <c r="J1080" s="1234"/>
      <c r="K1080" s="1234"/>
      <c r="L1080" s="1234"/>
      <c r="M1080" s="1234"/>
      <c r="N1080" s="1234"/>
      <c r="O1080" s="1234"/>
      <c r="P1080" s="1234"/>
      <c r="Q1080" s="1234"/>
      <c r="R1080" s="1234"/>
      <c r="S1080" s="1234"/>
      <c r="T1080" s="1234"/>
      <c r="U1080" s="1234"/>
      <c r="V1080" s="1234"/>
      <c r="W1080" s="1234"/>
      <c r="X1080" s="1234"/>
      <c r="Y1080" s="1234"/>
      <c r="Z1080" s="1234"/>
      <c r="AA1080" s="1234"/>
      <c r="AB1080" s="1234"/>
      <c r="AC1080" s="1234"/>
      <c r="AD1080" s="1234"/>
      <c r="AE1080" s="1234"/>
      <c r="AF1080" s="1234"/>
      <c r="AG1080" s="1234"/>
      <c r="AH1080" s="1234"/>
      <c r="AI1080" s="1234"/>
      <c r="AJ1080" s="1234"/>
      <c r="AK1080" s="1234"/>
      <c r="AL1080" s="1234"/>
      <c r="AM1080" s="1234"/>
      <c r="AN1080" s="1234"/>
      <c r="AO1080" s="1234"/>
      <c r="AP1080" s="1234"/>
      <c r="AQ1080" s="1234"/>
      <c r="AR1080" s="1234"/>
      <c r="AS1080" s="13"/>
      <c r="AT1080" s="1183"/>
      <c r="AV1080" s="1183"/>
      <c r="AW1080" s="1183"/>
      <c r="AX1080" s="1183"/>
      <c r="AY1080" s="1183"/>
    </row>
    <row r="1081" spans="1:51" ht="12.95" customHeight="1">
      <c r="A1081" s="1"/>
      <c r="B1081" s="1"/>
      <c r="C1081" s="1232"/>
      <c r="D1081" s="1232"/>
      <c r="E1081" s="1234"/>
      <c r="F1081" s="1234"/>
      <c r="G1081" s="1234"/>
      <c r="H1081" s="1234"/>
      <c r="I1081" s="1234"/>
      <c r="J1081" s="1234"/>
      <c r="K1081" s="1234"/>
      <c r="L1081" s="1234"/>
      <c r="M1081" s="1234"/>
      <c r="N1081" s="1234"/>
      <c r="O1081" s="1234"/>
      <c r="P1081" s="1234"/>
      <c r="Q1081" s="1234"/>
      <c r="R1081" s="1234"/>
      <c r="S1081" s="1234"/>
      <c r="T1081" s="1234"/>
      <c r="U1081" s="1234"/>
      <c r="V1081" s="1234"/>
      <c r="W1081" s="1234"/>
      <c r="X1081" s="1234"/>
      <c r="Y1081" s="1234"/>
      <c r="Z1081" s="1234"/>
      <c r="AA1081" s="1234"/>
      <c r="AB1081" s="1234"/>
      <c r="AC1081" s="1234"/>
      <c r="AD1081" s="1234"/>
      <c r="AE1081" s="1234"/>
      <c r="AF1081" s="1234"/>
      <c r="AG1081" s="1234"/>
      <c r="AH1081" s="1234"/>
      <c r="AI1081" s="1234"/>
      <c r="AJ1081" s="1234"/>
      <c r="AK1081" s="1234"/>
      <c r="AL1081" s="1234"/>
      <c r="AM1081" s="1234"/>
      <c r="AN1081" s="1234"/>
      <c r="AO1081" s="1234"/>
      <c r="AP1081" s="1234"/>
      <c r="AQ1081" s="1234"/>
      <c r="AR1081" s="1234"/>
      <c r="AS1081" s="13"/>
      <c r="AT1081" s="1183"/>
      <c r="AV1081" s="1183"/>
      <c r="AW1081" s="1183"/>
      <c r="AX1081" s="1183"/>
      <c r="AY1081" s="1183"/>
    </row>
    <row r="1082" spans="1:51" ht="12.95" customHeight="1">
      <c r="A1082" s="1"/>
      <c r="B1082" s="1"/>
      <c r="C1082" s="1232"/>
      <c r="D1082" s="1232"/>
      <c r="E1082" s="1234"/>
      <c r="F1082" s="1234"/>
      <c r="G1082" s="1234"/>
      <c r="H1082" s="1234"/>
      <c r="I1082" s="1234"/>
      <c r="J1082" s="1234"/>
      <c r="K1082" s="1234"/>
      <c r="L1082" s="1234"/>
      <c r="M1082" s="1234"/>
      <c r="N1082" s="1234"/>
      <c r="O1082" s="1234"/>
      <c r="P1082" s="1234"/>
      <c r="Q1082" s="1234"/>
      <c r="R1082" s="1234"/>
      <c r="S1082" s="1234"/>
      <c r="T1082" s="1234"/>
      <c r="U1082" s="1234"/>
      <c r="V1082" s="1234"/>
      <c r="W1082" s="1234"/>
      <c r="X1082" s="1234"/>
      <c r="Y1082" s="1234"/>
      <c r="Z1082" s="1234"/>
      <c r="AA1082" s="1234"/>
      <c r="AB1082" s="1234"/>
      <c r="AC1082" s="1234"/>
      <c r="AD1082" s="1234"/>
      <c r="AE1082" s="1234"/>
      <c r="AF1082" s="1234"/>
      <c r="AG1082" s="1234"/>
      <c r="AH1082" s="1234"/>
      <c r="AI1082" s="1234"/>
      <c r="AJ1082" s="1234"/>
      <c r="AK1082" s="1234"/>
      <c r="AL1082" s="1234"/>
      <c r="AM1082" s="1234"/>
      <c r="AN1082" s="1234"/>
      <c r="AO1082" s="1234"/>
      <c r="AP1082" s="1234"/>
      <c r="AQ1082" s="1234"/>
      <c r="AR1082" s="1234"/>
      <c r="AS1082" s="13"/>
      <c r="AT1082" s="1183"/>
      <c r="AV1082" s="1183"/>
      <c r="AW1082" s="1183"/>
      <c r="AX1082" s="1183"/>
      <c r="AY1082" s="1183"/>
    </row>
    <row r="1083" spans="1:51" ht="12.95" customHeight="1">
      <c r="A1083" s="2"/>
      <c r="B1083" s="21"/>
      <c r="C1083" s="1232"/>
      <c r="D1083" s="1232"/>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3"/>
      <c r="AM1083" s="1183"/>
      <c r="AN1083" s="1183"/>
      <c r="AO1083" s="1183"/>
      <c r="AP1083" s="1183"/>
      <c r="AQ1083" s="1183"/>
      <c r="AR1083" s="1183"/>
      <c r="AS1083" s="13"/>
      <c r="AT1083" s="1183"/>
      <c r="AV1083" s="1183"/>
      <c r="AW1083" s="1183"/>
      <c r="AX1083" s="1183"/>
      <c r="AY1083" s="1183"/>
    </row>
    <row r="1084" spans="1:51" ht="12.95" customHeight="1">
      <c r="A1084" s="1229" t="s">
        <v>826</v>
      </c>
      <c r="B1084" s="1229"/>
      <c r="C1084" s="1232">
        <v>4</v>
      </c>
      <c r="D1084" s="1232"/>
      <c r="E1084" s="1234" t="s">
        <v>1771</v>
      </c>
      <c r="F1084" s="1234"/>
      <c r="G1084" s="1234"/>
      <c r="H1084" s="1234"/>
      <c r="I1084" s="1234"/>
      <c r="J1084" s="1234"/>
      <c r="K1084" s="1234"/>
      <c r="L1084" s="1234"/>
      <c r="M1084" s="1234"/>
      <c r="N1084" s="1234"/>
      <c r="O1084" s="1234"/>
      <c r="P1084" s="1234"/>
      <c r="Q1084" s="1234"/>
      <c r="R1084" s="1234"/>
      <c r="S1084" s="1234"/>
      <c r="T1084" s="1234"/>
      <c r="U1084" s="1234"/>
      <c r="V1084" s="1234"/>
      <c r="W1084" s="1234"/>
      <c r="X1084" s="1234"/>
      <c r="Y1084" s="1234"/>
      <c r="Z1084" s="1234"/>
      <c r="AA1084" s="1234"/>
      <c r="AB1084" s="1234"/>
      <c r="AC1084" s="1234"/>
      <c r="AD1084" s="1234"/>
      <c r="AE1084" s="1234"/>
      <c r="AF1084" s="1234"/>
      <c r="AG1084" s="1234"/>
      <c r="AH1084" s="1234"/>
      <c r="AI1084" s="1234"/>
      <c r="AJ1084" s="1234"/>
      <c r="AK1084" s="1234"/>
      <c r="AL1084" s="1234"/>
      <c r="AM1084" s="1234"/>
      <c r="AN1084" s="1234"/>
      <c r="AO1084" s="1234"/>
      <c r="AP1084" s="1234"/>
      <c r="AQ1084" s="1234"/>
      <c r="AR1084" s="1234"/>
      <c r="AS1084" s="13"/>
      <c r="AT1084" s="1183"/>
    </row>
    <row r="1085" spans="1:51" ht="12.95" customHeight="1">
      <c r="A1085" s="1"/>
      <c r="B1085" s="1"/>
      <c r="C1085" s="1232"/>
      <c r="D1085" s="1232"/>
      <c r="E1085" s="1234"/>
      <c r="F1085" s="1234"/>
      <c r="G1085" s="1234"/>
      <c r="H1085" s="1234"/>
      <c r="I1085" s="1234"/>
      <c r="J1085" s="1234"/>
      <c r="K1085" s="1234"/>
      <c r="L1085" s="1234"/>
      <c r="M1085" s="1234"/>
      <c r="N1085" s="1234"/>
      <c r="O1085" s="1234"/>
      <c r="P1085" s="1234"/>
      <c r="Q1085" s="1234"/>
      <c r="R1085" s="1234"/>
      <c r="S1085" s="1234"/>
      <c r="T1085" s="1234"/>
      <c r="U1085" s="1234"/>
      <c r="V1085" s="1234"/>
      <c r="W1085" s="1234"/>
      <c r="X1085" s="1234"/>
      <c r="Y1085" s="1234"/>
      <c r="Z1085" s="1234"/>
      <c r="AA1085" s="1234"/>
      <c r="AB1085" s="1234"/>
      <c r="AC1085" s="1234"/>
      <c r="AD1085" s="1234"/>
      <c r="AE1085" s="1234"/>
      <c r="AF1085" s="1234"/>
      <c r="AG1085" s="1234"/>
      <c r="AH1085" s="1234"/>
      <c r="AI1085" s="1234"/>
      <c r="AJ1085" s="1234"/>
      <c r="AK1085" s="1234"/>
      <c r="AL1085" s="1234"/>
      <c r="AM1085" s="1234"/>
      <c r="AN1085" s="1234"/>
      <c r="AO1085" s="1234"/>
      <c r="AP1085" s="1234"/>
      <c r="AQ1085" s="1234"/>
      <c r="AR1085" s="1234"/>
      <c r="AS1085" s="13"/>
      <c r="AT1085" s="1183"/>
    </row>
    <row r="1086" spans="1:51" ht="12.95" customHeight="1">
      <c r="A1086" s="1"/>
      <c r="B1086" s="1"/>
      <c r="C1086" s="1232"/>
      <c r="D1086" s="1232"/>
      <c r="E1086" s="1234"/>
      <c r="F1086" s="1234"/>
      <c r="G1086" s="1234"/>
      <c r="H1086" s="1234"/>
      <c r="I1086" s="1234"/>
      <c r="J1086" s="1234"/>
      <c r="K1086" s="1234"/>
      <c r="L1086" s="1234"/>
      <c r="M1086" s="1234"/>
      <c r="N1086" s="1234"/>
      <c r="O1086" s="1234"/>
      <c r="P1086" s="1234"/>
      <c r="Q1086" s="1234"/>
      <c r="R1086" s="1234"/>
      <c r="S1086" s="1234"/>
      <c r="T1086" s="1234"/>
      <c r="U1086" s="1234"/>
      <c r="V1086" s="1234"/>
      <c r="W1086" s="1234"/>
      <c r="X1086" s="1234"/>
      <c r="Y1086" s="1234"/>
      <c r="Z1086" s="1234"/>
      <c r="AA1086" s="1234"/>
      <c r="AB1086" s="1234"/>
      <c r="AC1086" s="1234"/>
      <c r="AD1086" s="1234"/>
      <c r="AE1086" s="1234"/>
      <c r="AF1086" s="1234"/>
      <c r="AG1086" s="1234"/>
      <c r="AH1086" s="1234"/>
      <c r="AI1086" s="1234"/>
      <c r="AJ1086" s="1234"/>
      <c r="AK1086" s="1234"/>
      <c r="AL1086" s="1234"/>
      <c r="AM1086" s="1234"/>
      <c r="AN1086" s="1234"/>
      <c r="AO1086" s="1234"/>
      <c r="AP1086" s="1234"/>
      <c r="AQ1086" s="1234"/>
      <c r="AR1086" s="1234"/>
      <c r="AS1086" s="13"/>
      <c r="AT1086" s="1183"/>
    </row>
    <row r="1087" spans="1:51" ht="12.95" customHeight="1">
      <c r="A1087" s="1"/>
      <c r="B1087" s="1"/>
      <c r="C1087" s="1232"/>
      <c r="D1087" s="1232"/>
      <c r="E1087" s="1234"/>
      <c r="F1087" s="1234"/>
      <c r="G1087" s="1234"/>
      <c r="H1087" s="1234"/>
      <c r="I1087" s="1234"/>
      <c r="J1087" s="1234"/>
      <c r="K1087" s="1234"/>
      <c r="L1087" s="1234"/>
      <c r="M1087" s="1234"/>
      <c r="N1087" s="1234"/>
      <c r="O1087" s="1234"/>
      <c r="P1087" s="1234"/>
      <c r="Q1087" s="1234"/>
      <c r="R1087" s="1234"/>
      <c r="S1087" s="1234"/>
      <c r="T1087" s="1234"/>
      <c r="U1087" s="1234"/>
      <c r="V1087" s="1234"/>
      <c r="W1087" s="1234"/>
      <c r="X1087" s="1234"/>
      <c r="Y1087" s="1234"/>
      <c r="Z1087" s="1234"/>
      <c r="AA1087" s="1234"/>
      <c r="AB1087" s="1234"/>
      <c r="AC1087" s="1234"/>
      <c r="AD1087" s="1234"/>
      <c r="AE1087" s="1234"/>
      <c r="AF1087" s="1234"/>
      <c r="AG1087" s="1234"/>
      <c r="AH1087" s="1234"/>
      <c r="AI1087" s="1234"/>
      <c r="AJ1087" s="1234"/>
      <c r="AK1087" s="1234"/>
      <c r="AL1087" s="1234"/>
      <c r="AM1087" s="1234"/>
      <c r="AN1087" s="1234"/>
      <c r="AO1087" s="1234"/>
      <c r="AP1087" s="1234"/>
      <c r="AQ1087" s="1234"/>
      <c r="AR1087" s="1234"/>
      <c r="AS1087" s="13"/>
      <c r="AT1087" s="1183"/>
    </row>
    <row r="1088" spans="1:51" ht="12.95" customHeight="1">
      <c r="A1088" s="1"/>
      <c r="B1088" s="1"/>
      <c r="C1088" s="1232"/>
      <c r="D1088" s="1232"/>
      <c r="E1088" s="1234"/>
      <c r="F1088" s="1234"/>
      <c r="G1088" s="1234"/>
      <c r="H1088" s="1234"/>
      <c r="I1088" s="1234"/>
      <c r="J1088" s="1234"/>
      <c r="K1088" s="1234"/>
      <c r="L1088" s="1234"/>
      <c r="M1088" s="1234"/>
      <c r="N1088" s="1234"/>
      <c r="O1088" s="1234"/>
      <c r="P1088" s="1234"/>
      <c r="Q1088" s="1234"/>
      <c r="R1088" s="1234"/>
      <c r="S1088" s="1234"/>
      <c r="T1088" s="1234"/>
      <c r="U1088" s="1234"/>
      <c r="V1088" s="1234"/>
      <c r="W1088" s="1234"/>
      <c r="X1088" s="1234"/>
      <c r="Y1088" s="1234"/>
      <c r="Z1088" s="1234"/>
      <c r="AA1088" s="1234"/>
      <c r="AB1088" s="1234"/>
      <c r="AC1088" s="1234"/>
      <c r="AD1088" s="1234"/>
      <c r="AE1088" s="1234"/>
      <c r="AF1088" s="1234"/>
      <c r="AG1088" s="1234"/>
      <c r="AH1088" s="1234"/>
      <c r="AI1088" s="1234"/>
      <c r="AJ1088" s="1234"/>
      <c r="AK1088" s="1234"/>
      <c r="AL1088" s="1234"/>
      <c r="AM1088" s="1234"/>
      <c r="AN1088" s="1234"/>
      <c r="AO1088" s="1234"/>
      <c r="AP1088" s="1234"/>
      <c r="AQ1088" s="1234"/>
      <c r="AR1088" s="1234"/>
      <c r="AS1088" s="13"/>
      <c r="AT1088" s="1183"/>
    </row>
    <row r="1089" spans="1:45" ht="12.95" customHeight="1">
      <c r="A1089" s="1"/>
      <c r="B1089" s="1"/>
      <c r="C1089" s="1232"/>
      <c r="D1089" s="1232"/>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29" t="s">
        <v>826</v>
      </c>
      <c r="B1090" s="1229"/>
      <c r="C1090" s="1232">
        <v>5</v>
      </c>
      <c r="D1090" s="1232"/>
      <c r="E1090" s="1234" t="s">
        <v>1772</v>
      </c>
      <c r="F1090" s="1234"/>
      <c r="G1090" s="1234"/>
      <c r="H1090" s="1234"/>
      <c r="I1090" s="1234"/>
      <c r="J1090" s="1234"/>
      <c r="K1090" s="1234"/>
      <c r="L1090" s="1234"/>
      <c r="M1090" s="1234"/>
      <c r="N1090" s="1234"/>
      <c r="O1090" s="1234"/>
      <c r="P1090" s="1234"/>
      <c r="Q1090" s="1234"/>
      <c r="R1090" s="1234"/>
      <c r="S1090" s="1234"/>
      <c r="T1090" s="1234"/>
      <c r="U1090" s="1234"/>
      <c r="V1090" s="1234"/>
      <c r="W1090" s="1234"/>
      <c r="X1090" s="1234"/>
      <c r="Y1090" s="1234"/>
      <c r="Z1090" s="1234"/>
      <c r="AA1090" s="1234"/>
      <c r="AB1090" s="1234"/>
      <c r="AC1090" s="1234"/>
      <c r="AD1090" s="1234"/>
      <c r="AE1090" s="1234"/>
      <c r="AF1090" s="1234"/>
      <c r="AG1090" s="1234"/>
      <c r="AH1090" s="1234"/>
      <c r="AI1090" s="1234"/>
      <c r="AJ1090" s="1234"/>
      <c r="AK1090" s="1234"/>
      <c r="AL1090" s="1234"/>
      <c r="AM1090" s="1234"/>
      <c r="AN1090" s="1234"/>
      <c r="AO1090" s="1234"/>
      <c r="AP1090" s="1234"/>
      <c r="AQ1090" s="1234"/>
      <c r="AR1090" s="1234"/>
      <c r="AS1090" s="13"/>
    </row>
    <row r="1091" spans="1:45" ht="12.95" customHeight="1">
      <c r="A1091" s="3"/>
      <c r="B1091" s="3"/>
      <c r="C1091" s="1232"/>
      <c r="D1091" s="1232"/>
      <c r="E1091" s="1234"/>
      <c r="F1091" s="1234"/>
      <c r="G1091" s="1234"/>
      <c r="H1091" s="1234"/>
      <c r="I1091" s="1234"/>
      <c r="J1091" s="1234"/>
      <c r="K1091" s="1234"/>
      <c r="L1091" s="1234"/>
      <c r="M1091" s="1234"/>
      <c r="N1091" s="1234"/>
      <c r="O1091" s="1234"/>
      <c r="P1091" s="1234"/>
      <c r="Q1091" s="1234"/>
      <c r="R1091" s="1234"/>
      <c r="S1091" s="1234"/>
      <c r="T1091" s="1234"/>
      <c r="U1091" s="1234"/>
      <c r="V1091" s="1234"/>
      <c r="W1091" s="1234"/>
      <c r="X1091" s="1234"/>
      <c r="Y1091" s="1234"/>
      <c r="Z1091" s="1234"/>
      <c r="AA1091" s="1234"/>
      <c r="AB1091" s="1234"/>
      <c r="AC1091" s="1234"/>
      <c r="AD1091" s="1234"/>
      <c r="AE1091" s="1234"/>
      <c r="AF1091" s="1234"/>
      <c r="AG1091" s="1234"/>
      <c r="AH1091" s="1234"/>
      <c r="AI1091" s="1234"/>
      <c r="AJ1091" s="1234"/>
      <c r="AK1091" s="1234"/>
      <c r="AL1091" s="1234"/>
      <c r="AM1091" s="1234"/>
      <c r="AN1091" s="1234"/>
      <c r="AO1091" s="1234"/>
      <c r="AP1091" s="1234"/>
      <c r="AQ1091" s="1234"/>
      <c r="AR1091" s="1234"/>
      <c r="AS1091" s="13"/>
    </row>
    <row r="1092" spans="1:45" ht="12.95" customHeight="1">
      <c r="A1092" s="3"/>
      <c r="B1092" s="3"/>
      <c r="C1092" s="1232"/>
      <c r="D1092" s="1232"/>
      <c r="E1092" s="1234"/>
      <c r="F1092" s="1234"/>
      <c r="G1092" s="1234"/>
      <c r="H1092" s="1234"/>
      <c r="I1092" s="1234"/>
      <c r="J1092" s="1234"/>
      <c r="K1092" s="1234"/>
      <c r="L1092" s="1234"/>
      <c r="M1092" s="1234"/>
      <c r="N1092" s="1234"/>
      <c r="O1092" s="1234"/>
      <c r="P1092" s="1234"/>
      <c r="Q1092" s="1234"/>
      <c r="R1092" s="1234"/>
      <c r="S1092" s="1234"/>
      <c r="T1092" s="1234"/>
      <c r="U1092" s="1234"/>
      <c r="V1092" s="1234"/>
      <c r="W1092" s="1234"/>
      <c r="X1092" s="1234"/>
      <c r="Y1092" s="1234"/>
      <c r="Z1092" s="1234"/>
      <c r="AA1092" s="1234"/>
      <c r="AB1092" s="1234"/>
      <c r="AC1092" s="1234"/>
      <c r="AD1092" s="1234"/>
      <c r="AE1092" s="1234"/>
      <c r="AF1092" s="1234"/>
      <c r="AG1092" s="1234"/>
      <c r="AH1092" s="1234"/>
      <c r="AI1092" s="1234"/>
      <c r="AJ1092" s="1234"/>
      <c r="AK1092" s="1234"/>
      <c r="AL1092" s="1234"/>
      <c r="AM1092" s="1234"/>
      <c r="AN1092" s="1234"/>
      <c r="AO1092" s="1234"/>
      <c r="AP1092" s="1234"/>
      <c r="AQ1092" s="1234"/>
      <c r="AR1092" s="1234"/>
      <c r="AS1092" s="13"/>
    </row>
    <row r="1093" spans="1:45" ht="12.95" customHeight="1">
      <c r="A1093" s="84"/>
      <c r="B1093" s="21"/>
      <c r="C1093" s="1232"/>
      <c r="D1093" s="1232"/>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29" t="s">
        <v>826</v>
      </c>
      <c r="B1094" s="1229"/>
      <c r="C1094" s="1232">
        <v>6</v>
      </c>
      <c r="D1094" s="1232"/>
      <c r="E1094" s="1234" t="s">
        <v>1773</v>
      </c>
      <c r="F1094" s="1234"/>
      <c r="G1094" s="1234"/>
      <c r="H1094" s="1234"/>
      <c r="I1094" s="1234"/>
      <c r="J1094" s="1234"/>
      <c r="K1094" s="1234"/>
      <c r="L1094" s="1234"/>
      <c r="M1094" s="1234"/>
      <c r="N1094" s="1234"/>
      <c r="O1094" s="1234"/>
      <c r="P1094" s="1234"/>
      <c r="Q1094" s="1234"/>
      <c r="R1094" s="1234"/>
      <c r="S1094" s="1234"/>
      <c r="T1094" s="1234"/>
      <c r="U1094" s="1234"/>
      <c r="V1094" s="1234"/>
      <c r="W1094" s="1234"/>
      <c r="X1094" s="1234"/>
      <c r="Y1094" s="1234"/>
      <c r="Z1094" s="1234"/>
      <c r="AA1094" s="1234"/>
      <c r="AB1094" s="1234"/>
      <c r="AC1094" s="1234"/>
      <c r="AD1094" s="1234"/>
      <c r="AE1094" s="1234"/>
      <c r="AF1094" s="1234"/>
      <c r="AG1094" s="1234"/>
      <c r="AH1094" s="1234"/>
      <c r="AI1094" s="1234"/>
      <c r="AJ1094" s="1234"/>
      <c r="AK1094" s="1234"/>
      <c r="AL1094" s="1234"/>
      <c r="AM1094" s="1234"/>
      <c r="AN1094" s="1234"/>
      <c r="AO1094" s="1234"/>
      <c r="AP1094" s="1234"/>
      <c r="AQ1094" s="1234"/>
      <c r="AR1094" s="1234"/>
      <c r="AS1094" s="13"/>
    </row>
    <row r="1095" spans="1:45" ht="12.95" customHeight="1">
      <c r="A1095" s="1"/>
      <c r="B1095" s="1"/>
      <c r="C1095" s="1"/>
      <c r="D1095" s="1"/>
      <c r="E1095" s="1234"/>
      <c r="F1095" s="1234"/>
      <c r="G1095" s="1234"/>
      <c r="H1095" s="1234"/>
      <c r="I1095" s="1234"/>
      <c r="J1095" s="1234"/>
      <c r="K1095" s="1234"/>
      <c r="L1095" s="1234"/>
      <c r="M1095" s="1234"/>
      <c r="N1095" s="1234"/>
      <c r="O1095" s="1234"/>
      <c r="P1095" s="1234"/>
      <c r="Q1095" s="1234"/>
      <c r="R1095" s="1234"/>
      <c r="S1095" s="1234"/>
      <c r="T1095" s="1234"/>
      <c r="U1095" s="1234"/>
      <c r="V1095" s="1234"/>
      <c r="W1095" s="1234"/>
      <c r="X1095" s="1234"/>
      <c r="Y1095" s="1234"/>
      <c r="Z1095" s="1234"/>
      <c r="AA1095" s="1234"/>
      <c r="AB1095" s="1234"/>
      <c r="AC1095" s="1234"/>
      <c r="AD1095" s="1234"/>
      <c r="AE1095" s="1234"/>
      <c r="AF1095" s="1234"/>
      <c r="AG1095" s="1234"/>
      <c r="AH1095" s="1234"/>
      <c r="AI1095" s="1234"/>
      <c r="AJ1095" s="1234"/>
      <c r="AK1095" s="1234"/>
      <c r="AL1095" s="1234"/>
      <c r="AM1095" s="1234"/>
      <c r="AN1095" s="1234"/>
      <c r="AO1095" s="1234"/>
      <c r="AP1095" s="1234"/>
      <c r="AQ1095" s="1234"/>
      <c r="AR1095" s="1234"/>
      <c r="AS1095" s="13"/>
    </row>
    <row r="1096" spans="1:45" ht="12.95" customHeight="1">
      <c r="A1096" s="1"/>
      <c r="B1096" s="1"/>
      <c r="C1096" s="1232"/>
      <c r="D1096" s="1232"/>
      <c r="E1096" s="1234"/>
      <c r="F1096" s="1234"/>
      <c r="G1096" s="1234"/>
      <c r="H1096" s="1234"/>
      <c r="I1096" s="1234"/>
      <c r="J1096" s="1234"/>
      <c r="K1096" s="1234"/>
      <c r="L1096" s="1234"/>
      <c r="M1096" s="1234"/>
      <c r="N1096" s="1234"/>
      <c r="O1096" s="1234"/>
      <c r="P1096" s="1234"/>
      <c r="Q1096" s="1234"/>
      <c r="R1096" s="1234"/>
      <c r="S1096" s="1234"/>
      <c r="T1096" s="1234"/>
      <c r="U1096" s="1234"/>
      <c r="V1096" s="1234"/>
      <c r="W1096" s="1234"/>
      <c r="X1096" s="1234"/>
      <c r="Y1096" s="1234"/>
      <c r="Z1096" s="1234"/>
      <c r="AA1096" s="1234"/>
      <c r="AB1096" s="1234"/>
      <c r="AC1096" s="1234"/>
      <c r="AD1096" s="1234"/>
      <c r="AE1096" s="1234"/>
      <c r="AF1096" s="1234"/>
      <c r="AG1096" s="1234"/>
      <c r="AH1096" s="1234"/>
      <c r="AI1096" s="1234"/>
      <c r="AJ1096" s="1234"/>
      <c r="AK1096" s="1234"/>
      <c r="AL1096" s="1234"/>
      <c r="AM1096" s="1234"/>
      <c r="AN1096" s="1234"/>
      <c r="AO1096" s="1234"/>
      <c r="AP1096" s="1234"/>
      <c r="AQ1096" s="1234"/>
      <c r="AR1096" s="1234"/>
      <c r="AS1096" s="13"/>
    </row>
    <row r="1097" spans="1:45" ht="12.95" customHeight="1">
      <c r="A1097" s="84"/>
      <c r="B1097" s="21"/>
      <c r="C1097" s="1232"/>
      <c r="D1097" s="1232"/>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29" t="s">
        <v>826</v>
      </c>
      <c r="B1098" s="1229"/>
      <c r="C1098" s="1232">
        <v>7</v>
      </c>
      <c r="D1098" s="1232"/>
      <c r="E1098" s="1234" t="s">
        <v>1774</v>
      </c>
      <c r="F1098" s="1234"/>
      <c r="G1098" s="1234"/>
      <c r="H1098" s="1234"/>
      <c r="I1098" s="1234"/>
      <c r="J1098" s="1234"/>
      <c r="K1098" s="1234"/>
      <c r="L1098" s="1234"/>
      <c r="M1098" s="1234"/>
      <c r="N1098" s="1234"/>
      <c r="O1098" s="1234"/>
      <c r="P1098" s="1234"/>
      <c r="Q1098" s="1234"/>
      <c r="R1098" s="1234"/>
      <c r="S1098" s="1234"/>
      <c r="T1098" s="1234"/>
      <c r="U1098" s="1234"/>
      <c r="V1098" s="1234"/>
      <c r="W1098" s="1234"/>
      <c r="X1098" s="1234"/>
      <c r="Y1098" s="1234"/>
      <c r="Z1098" s="1234"/>
      <c r="AA1098" s="1234"/>
      <c r="AB1098" s="1234"/>
      <c r="AC1098" s="1234"/>
      <c r="AD1098" s="1234"/>
      <c r="AE1098" s="1234"/>
      <c r="AF1098" s="1234"/>
      <c r="AG1098" s="1234"/>
      <c r="AH1098" s="1234"/>
      <c r="AI1098" s="1234"/>
      <c r="AJ1098" s="1234"/>
      <c r="AK1098" s="1234"/>
      <c r="AL1098" s="1234"/>
      <c r="AM1098" s="1234"/>
      <c r="AN1098" s="1234"/>
      <c r="AO1098" s="1234"/>
      <c r="AP1098" s="1234"/>
      <c r="AQ1098" s="1234"/>
      <c r="AR1098" s="1234"/>
      <c r="AS1098" s="13"/>
    </row>
    <row r="1099" spans="1:45" ht="12.95" customHeight="1">
      <c r="A1099" s="1"/>
      <c r="B1099" s="1"/>
      <c r="C1099" s="1232"/>
      <c r="D1099" s="1232"/>
      <c r="E1099" s="1234"/>
      <c r="F1099" s="1234"/>
      <c r="G1099" s="1234"/>
      <c r="H1099" s="1234"/>
      <c r="I1099" s="1234"/>
      <c r="J1099" s="1234"/>
      <c r="K1099" s="1234"/>
      <c r="L1099" s="1234"/>
      <c r="M1099" s="1234"/>
      <c r="N1099" s="1234"/>
      <c r="O1099" s="1234"/>
      <c r="P1099" s="1234"/>
      <c r="Q1099" s="1234"/>
      <c r="R1099" s="1234"/>
      <c r="S1099" s="1234"/>
      <c r="T1099" s="1234"/>
      <c r="U1099" s="1234"/>
      <c r="V1099" s="1234"/>
      <c r="W1099" s="1234"/>
      <c r="X1099" s="1234"/>
      <c r="Y1099" s="1234"/>
      <c r="Z1099" s="1234"/>
      <c r="AA1099" s="1234"/>
      <c r="AB1099" s="1234"/>
      <c r="AC1099" s="1234"/>
      <c r="AD1099" s="1234"/>
      <c r="AE1099" s="1234"/>
      <c r="AF1099" s="1234"/>
      <c r="AG1099" s="1234"/>
      <c r="AH1099" s="1234"/>
      <c r="AI1099" s="1234"/>
      <c r="AJ1099" s="1234"/>
      <c r="AK1099" s="1234"/>
      <c r="AL1099" s="1234"/>
      <c r="AM1099" s="1234"/>
      <c r="AN1099" s="1234"/>
      <c r="AO1099" s="1234"/>
      <c r="AP1099" s="1234"/>
      <c r="AQ1099" s="1234"/>
      <c r="AR1099" s="1234"/>
      <c r="AS1099" s="13"/>
    </row>
    <row r="1100" spans="1:45" ht="12.95" customHeight="1">
      <c r="A1100" s="1"/>
      <c r="B1100" s="1"/>
      <c r="C1100" s="1232"/>
      <c r="D1100" s="1232"/>
      <c r="E1100" s="1234"/>
      <c r="F1100" s="1234"/>
      <c r="G1100" s="1234"/>
      <c r="H1100" s="1234"/>
      <c r="I1100" s="1234"/>
      <c r="J1100" s="1234"/>
      <c r="K1100" s="1234"/>
      <c r="L1100" s="1234"/>
      <c r="M1100" s="1234"/>
      <c r="N1100" s="1234"/>
      <c r="O1100" s="1234"/>
      <c r="P1100" s="1234"/>
      <c r="Q1100" s="1234"/>
      <c r="R1100" s="1234"/>
      <c r="S1100" s="1234"/>
      <c r="T1100" s="1234"/>
      <c r="U1100" s="1234"/>
      <c r="V1100" s="1234"/>
      <c r="W1100" s="1234"/>
      <c r="X1100" s="1234"/>
      <c r="Y1100" s="1234"/>
      <c r="Z1100" s="1234"/>
      <c r="AA1100" s="1234"/>
      <c r="AB1100" s="1234"/>
      <c r="AC1100" s="1234"/>
      <c r="AD1100" s="1234"/>
      <c r="AE1100" s="1234"/>
      <c r="AF1100" s="1234"/>
      <c r="AG1100" s="1234"/>
      <c r="AH1100" s="1234"/>
      <c r="AI1100" s="1234"/>
      <c r="AJ1100" s="1234"/>
      <c r="AK1100" s="1234"/>
      <c r="AL1100" s="1234"/>
      <c r="AM1100" s="1234"/>
      <c r="AN1100" s="1234"/>
      <c r="AO1100" s="1234"/>
      <c r="AP1100" s="1234"/>
      <c r="AQ1100" s="1234"/>
      <c r="AR1100" s="1234"/>
      <c r="AS1100" s="13"/>
    </row>
    <row r="1101" spans="1:45" ht="12.95" customHeight="1">
      <c r="A1101" s="1"/>
      <c r="B1101" s="1"/>
      <c r="C1101" s="1232"/>
      <c r="D1101" s="1232"/>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232"/>
      <c r="D1102" s="1232"/>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29" t="s">
        <v>826</v>
      </c>
      <c r="B1103" s="1229"/>
      <c r="C1103" s="1232">
        <v>8</v>
      </c>
      <c r="D1103" s="1232"/>
      <c r="E1103" s="1234" t="s">
        <v>1775</v>
      </c>
      <c r="F1103" s="1234"/>
      <c r="G1103" s="1234"/>
      <c r="H1103" s="1234"/>
      <c r="I1103" s="1234"/>
      <c r="J1103" s="1234"/>
      <c r="K1103" s="1234"/>
      <c r="L1103" s="1234"/>
      <c r="M1103" s="1234"/>
      <c r="N1103" s="1234"/>
      <c r="O1103" s="1234"/>
      <c r="P1103" s="1234"/>
      <c r="Q1103" s="1234"/>
      <c r="R1103" s="1234"/>
      <c r="S1103" s="1234"/>
      <c r="T1103" s="1234"/>
      <c r="U1103" s="1234"/>
      <c r="V1103" s="1234"/>
      <c r="W1103" s="1234"/>
      <c r="X1103" s="1234"/>
      <c r="Y1103" s="1234"/>
      <c r="Z1103" s="1234"/>
      <c r="AA1103" s="1234"/>
      <c r="AB1103" s="1234"/>
      <c r="AC1103" s="1234"/>
      <c r="AD1103" s="1234"/>
      <c r="AE1103" s="1234"/>
      <c r="AF1103" s="1234"/>
      <c r="AG1103" s="1234"/>
      <c r="AH1103" s="1234"/>
      <c r="AI1103" s="1234"/>
      <c r="AJ1103" s="1234"/>
      <c r="AK1103" s="1234"/>
      <c r="AL1103" s="1234"/>
      <c r="AM1103" s="1234"/>
      <c r="AN1103" s="1234"/>
      <c r="AO1103" s="1234"/>
      <c r="AP1103" s="1234"/>
      <c r="AQ1103" s="1234"/>
      <c r="AR1103" s="1234"/>
    </row>
    <row r="1104" spans="1:45" ht="12.95" customHeight="1">
      <c r="A1104" s="84"/>
      <c r="B1104" s="21"/>
      <c r="C1104" s="1232"/>
      <c r="D1104" s="1232"/>
      <c r="E1104" s="1234"/>
      <c r="F1104" s="1234"/>
      <c r="G1104" s="1234"/>
      <c r="H1104" s="1234"/>
      <c r="I1104" s="1234"/>
      <c r="J1104" s="1234"/>
      <c r="K1104" s="1234"/>
      <c r="L1104" s="1234"/>
      <c r="M1104" s="1234"/>
      <c r="N1104" s="1234"/>
      <c r="O1104" s="1234"/>
      <c r="P1104" s="1234"/>
      <c r="Q1104" s="1234"/>
      <c r="R1104" s="1234"/>
      <c r="S1104" s="1234"/>
      <c r="T1104" s="1234"/>
      <c r="U1104" s="1234"/>
      <c r="V1104" s="1234"/>
      <c r="W1104" s="1234"/>
      <c r="X1104" s="1234"/>
      <c r="Y1104" s="1234"/>
      <c r="Z1104" s="1234"/>
      <c r="AA1104" s="1234"/>
      <c r="AB1104" s="1234"/>
      <c r="AC1104" s="1234"/>
      <c r="AD1104" s="1234"/>
      <c r="AE1104" s="1234"/>
      <c r="AF1104" s="1234"/>
      <c r="AG1104" s="1234"/>
      <c r="AH1104" s="1234"/>
      <c r="AI1104" s="1234"/>
      <c r="AJ1104" s="1234"/>
      <c r="AK1104" s="1234"/>
      <c r="AL1104" s="1234"/>
      <c r="AM1104" s="1234"/>
      <c r="AN1104" s="1234"/>
      <c r="AO1104" s="1234"/>
      <c r="AP1104" s="1234"/>
      <c r="AQ1104" s="1234"/>
      <c r="AR1104" s="1234"/>
    </row>
    <row r="1105" spans="1:44" ht="12.95" customHeight="1">
      <c r="A1105" s="84"/>
      <c r="B1105" s="21"/>
      <c r="C1105" s="1232"/>
      <c r="D1105" s="1232"/>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29" t="s">
        <v>826</v>
      </c>
      <c r="B1106" s="1229"/>
      <c r="C1106" s="1230">
        <v>9</v>
      </c>
      <c r="D1106" s="1230"/>
      <c r="E1106" s="1234" t="s">
        <v>1776</v>
      </c>
      <c r="F1106" s="1234"/>
      <c r="G1106" s="1234"/>
      <c r="H1106" s="1234"/>
      <c r="I1106" s="1234"/>
      <c r="J1106" s="1234"/>
      <c r="K1106" s="1234"/>
      <c r="L1106" s="1234"/>
      <c r="M1106" s="1234"/>
      <c r="N1106" s="1234"/>
      <c r="O1106" s="1234"/>
      <c r="P1106" s="1234"/>
      <c r="Q1106" s="1234"/>
      <c r="R1106" s="1234"/>
      <c r="S1106" s="1234"/>
      <c r="T1106" s="1234"/>
      <c r="U1106" s="1234"/>
      <c r="V1106" s="1234"/>
      <c r="W1106" s="1234"/>
      <c r="X1106" s="1234"/>
      <c r="Y1106" s="1234"/>
      <c r="Z1106" s="1234"/>
      <c r="AA1106" s="1234"/>
      <c r="AB1106" s="1234"/>
      <c r="AC1106" s="1234"/>
      <c r="AD1106" s="1234"/>
      <c r="AE1106" s="1234"/>
      <c r="AF1106" s="1234"/>
      <c r="AG1106" s="1234"/>
      <c r="AH1106" s="1234"/>
      <c r="AI1106" s="1234"/>
      <c r="AJ1106" s="1234"/>
      <c r="AK1106" s="1234"/>
      <c r="AL1106" s="1234"/>
      <c r="AM1106" s="1234"/>
      <c r="AN1106" s="1234"/>
      <c r="AO1106" s="1234"/>
      <c r="AP1106" s="1234"/>
      <c r="AQ1106" s="1234"/>
      <c r="AR1106" s="1234"/>
    </row>
    <row r="1107" spans="1:44" ht="12.95" customHeight="1">
      <c r="A1107" s="1"/>
      <c r="B1107" s="1"/>
      <c r="C1107" s="1230"/>
      <c r="D1107" s="1230"/>
      <c r="E1107" s="1234"/>
      <c r="F1107" s="1234"/>
      <c r="G1107" s="1234"/>
      <c r="H1107" s="1234"/>
      <c r="I1107" s="1234"/>
      <c r="J1107" s="1234"/>
      <c r="K1107" s="1234"/>
      <c r="L1107" s="1234"/>
      <c r="M1107" s="1234"/>
      <c r="N1107" s="1234"/>
      <c r="O1107" s="1234"/>
      <c r="P1107" s="1234"/>
      <c r="Q1107" s="1234"/>
      <c r="R1107" s="1234"/>
      <c r="S1107" s="1234"/>
      <c r="T1107" s="1234"/>
      <c r="U1107" s="1234"/>
      <c r="V1107" s="1234"/>
      <c r="W1107" s="1234"/>
      <c r="X1107" s="1234"/>
      <c r="Y1107" s="1234"/>
      <c r="Z1107" s="1234"/>
      <c r="AA1107" s="1234"/>
      <c r="AB1107" s="1234"/>
      <c r="AC1107" s="1234"/>
      <c r="AD1107" s="1234"/>
      <c r="AE1107" s="1234"/>
      <c r="AF1107" s="1234"/>
      <c r="AG1107" s="1234"/>
      <c r="AH1107" s="1234"/>
      <c r="AI1107" s="1234"/>
      <c r="AJ1107" s="1234"/>
      <c r="AK1107" s="1234"/>
      <c r="AL1107" s="1234"/>
      <c r="AM1107" s="1234"/>
      <c r="AN1107" s="1234"/>
      <c r="AO1107" s="1234"/>
      <c r="AP1107" s="1234"/>
      <c r="AQ1107" s="1234"/>
      <c r="AR1107" s="1234"/>
    </row>
    <row r="1108" spans="1:44" ht="12.95" customHeight="1">
      <c r="A1108" s="84"/>
      <c r="B1108" s="21"/>
      <c r="C1108" s="1230"/>
      <c r="D1108" s="1230"/>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29" t="s">
        <v>826</v>
      </c>
      <c r="B1109" s="1229"/>
      <c r="C1109" s="1230">
        <v>10</v>
      </c>
      <c r="D1109" s="1230"/>
      <c r="E1109" s="1231" t="s">
        <v>1777</v>
      </c>
      <c r="F1109" s="1231"/>
      <c r="G1109" s="1231"/>
      <c r="H1109" s="1231"/>
      <c r="I1109" s="1231"/>
      <c r="J1109" s="1231"/>
      <c r="K1109" s="1231"/>
      <c r="L1109" s="1231"/>
      <c r="M1109" s="1231"/>
      <c r="N1109" s="1231"/>
      <c r="O1109" s="1231"/>
      <c r="P1109" s="1231"/>
      <c r="Q1109" s="1231"/>
      <c r="R1109" s="1231"/>
      <c r="S1109" s="1231"/>
      <c r="T1109" s="1231"/>
      <c r="U1109" s="1231"/>
      <c r="V1109" s="1231"/>
      <c r="W1109" s="1231"/>
      <c r="X1109" s="1231"/>
      <c r="Y1109" s="1231"/>
      <c r="Z1109" s="1231"/>
      <c r="AA1109" s="1231"/>
      <c r="AB1109" s="1231"/>
      <c r="AC1109" s="1231"/>
      <c r="AD1109" s="1231"/>
      <c r="AE1109" s="1231"/>
      <c r="AF1109" s="1231"/>
      <c r="AG1109" s="1231"/>
      <c r="AH1109" s="1231"/>
      <c r="AI1109" s="1231"/>
      <c r="AJ1109" s="1231"/>
      <c r="AK1109" s="1231"/>
      <c r="AL1109" s="1231"/>
      <c r="AM1109" s="1231"/>
      <c r="AN1109" s="1231"/>
      <c r="AO1109" s="1231"/>
      <c r="AP1109" s="1231"/>
      <c r="AQ1109" s="1231"/>
      <c r="AR1109" s="1231"/>
    </row>
    <row r="1110" spans="1:44" ht="12.95" customHeight="1">
      <c r="A1110" s="1"/>
      <c r="B1110" s="1"/>
      <c r="C1110" s="1207"/>
      <c r="D1110" s="1043"/>
      <c r="E1110" s="1231"/>
      <c r="F1110" s="1231"/>
      <c r="G1110" s="1231"/>
      <c r="H1110" s="1231"/>
      <c r="I1110" s="1231"/>
      <c r="J1110" s="1231"/>
      <c r="K1110" s="1231"/>
      <c r="L1110" s="1231"/>
      <c r="M1110" s="1231"/>
      <c r="N1110" s="1231"/>
      <c r="O1110" s="1231"/>
      <c r="P1110" s="1231"/>
      <c r="Q1110" s="1231"/>
      <c r="R1110" s="1231"/>
      <c r="S1110" s="1231"/>
      <c r="T1110" s="1231"/>
      <c r="U1110" s="1231"/>
      <c r="V1110" s="1231"/>
      <c r="W1110" s="1231"/>
      <c r="X1110" s="1231"/>
      <c r="Y1110" s="1231"/>
      <c r="Z1110" s="1231"/>
      <c r="AA1110" s="1231"/>
      <c r="AB1110" s="1231"/>
      <c r="AC1110" s="1231"/>
      <c r="AD1110" s="1231"/>
      <c r="AE1110" s="1231"/>
      <c r="AF1110" s="1231"/>
      <c r="AG1110" s="1231"/>
      <c r="AH1110" s="1231"/>
      <c r="AI1110" s="1231"/>
      <c r="AJ1110" s="1231"/>
      <c r="AK1110" s="1231"/>
      <c r="AL1110" s="1231"/>
      <c r="AM1110" s="1231"/>
      <c r="AN1110" s="1231"/>
      <c r="AO1110" s="1231"/>
      <c r="AP1110" s="1231"/>
      <c r="AQ1110" s="1231"/>
      <c r="AR1110" s="1231"/>
    </row>
    <row r="1111" spans="1:44" ht="12.95" customHeight="1">
      <c r="A1111" s="1"/>
      <c r="B1111" s="1"/>
      <c r="C1111" s="1207"/>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29" t="s">
        <v>826</v>
      </c>
      <c r="B1112" s="1229"/>
      <c r="C1112" s="1230">
        <v>11</v>
      </c>
      <c r="D1112" s="1230"/>
      <c r="E1112" s="1231" t="s">
        <v>1778</v>
      </c>
      <c r="F1112" s="1231"/>
      <c r="G1112" s="1231"/>
      <c r="H1112" s="1231"/>
      <c r="I1112" s="1231"/>
      <c r="J1112" s="1231"/>
      <c r="K1112" s="1231"/>
      <c r="L1112" s="1231"/>
      <c r="M1112" s="1231"/>
      <c r="N1112" s="1231"/>
      <c r="O1112" s="1231"/>
      <c r="P1112" s="1231"/>
      <c r="Q1112" s="1231"/>
      <c r="R1112" s="1231"/>
      <c r="S1112" s="1231"/>
      <c r="T1112" s="1231"/>
      <c r="U1112" s="1231"/>
      <c r="V1112" s="1231"/>
      <c r="W1112" s="1231"/>
      <c r="X1112" s="1231"/>
      <c r="Y1112" s="1231"/>
      <c r="Z1112" s="1231"/>
      <c r="AA1112" s="1231"/>
      <c r="AB1112" s="1231"/>
      <c r="AC1112" s="1231"/>
      <c r="AD1112" s="1231"/>
      <c r="AE1112" s="1231"/>
      <c r="AF1112" s="1231"/>
      <c r="AG1112" s="1231"/>
      <c r="AH1112" s="1231"/>
      <c r="AI1112" s="1231"/>
      <c r="AJ1112" s="1231"/>
      <c r="AK1112" s="1231"/>
      <c r="AL1112" s="1231"/>
      <c r="AM1112" s="1231"/>
      <c r="AN1112" s="1231"/>
      <c r="AO1112" s="1231"/>
      <c r="AP1112" s="1231"/>
      <c r="AQ1112" s="1231"/>
      <c r="AR1112" s="1231"/>
    </row>
    <row r="1113" spans="1:44" ht="12.95" customHeight="1">
      <c r="A1113" s="1"/>
      <c r="B1113" s="1"/>
      <c r="C1113" s="1207"/>
      <c r="D1113" s="1043"/>
      <c r="E1113" s="1231"/>
      <c r="F1113" s="1231"/>
      <c r="G1113" s="1231"/>
      <c r="H1113" s="1231"/>
      <c r="I1113" s="1231"/>
      <c r="J1113" s="1231"/>
      <c r="K1113" s="1231"/>
      <c r="L1113" s="1231"/>
      <c r="M1113" s="1231"/>
      <c r="N1113" s="1231"/>
      <c r="O1113" s="1231"/>
      <c r="P1113" s="1231"/>
      <c r="Q1113" s="1231"/>
      <c r="R1113" s="1231"/>
      <c r="S1113" s="1231"/>
      <c r="T1113" s="1231"/>
      <c r="U1113" s="1231"/>
      <c r="V1113" s="1231"/>
      <c r="W1113" s="1231"/>
      <c r="X1113" s="1231"/>
      <c r="Y1113" s="1231"/>
      <c r="Z1113" s="1231"/>
      <c r="AA1113" s="1231"/>
      <c r="AB1113" s="1231"/>
      <c r="AC1113" s="1231"/>
      <c r="AD1113" s="1231"/>
      <c r="AE1113" s="1231"/>
      <c r="AF1113" s="1231"/>
      <c r="AG1113" s="1231"/>
      <c r="AH1113" s="1231"/>
      <c r="AI1113" s="1231"/>
      <c r="AJ1113" s="1231"/>
      <c r="AK1113" s="1231"/>
      <c r="AL1113" s="1231"/>
      <c r="AM1113" s="1231"/>
      <c r="AN1113" s="1231"/>
      <c r="AO1113" s="1231"/>
      <c r="AP1113" s="1231"/>
      <c r="AQ1113" s="1231"/>
      <c r="AR1113" s="1231"/>
    </row>
    <row r="1114" spans="1:44" ht="12.95" customHeight="1">
      <c r="A1114" s="1"/>
      <c r="B1114" s="1"/>
      <c r="C1114" s="1207"/>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7"/>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7"/>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7"/>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7"/>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7"/>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7"/>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7"/>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7"/>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7"/>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7"/>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7"/>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7"/>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7"/>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7"/>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7"/>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7"/>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7"/>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7"/>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7"/>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29" t="s">
        <v>826</v>
      </c>
      <c r="B1134" s="1229"/>
      <c r="C1134" s="1207">
        <v>9</v>
      </c>
      <c r="D1134" s="1404" t="s">
        <v>1779</v>
      </c>
      <c r="E1134" s="1404"/>
      <c r="F1134" s="1404"/>
      <c r="G1134" s="1404"/>
      <c r="H1134" s="1404"/>
      <c r="I1134" s="1404"/>
      <c r="J1134" s="1404"/>
      <c r="K1134" s="1404"/>
      <c r="L1134" s="1404"/>
      <c r="M1134" s="1404"/>
      <c r="N1134" s="1404"/>
      <c r="O1134" s="1404"/>
      <c r="P1134" s="1404"/>
      <c r="Q1134" s="1404"/>
      <c r="R1134" s="1404"/>
      <c r="S1134" s="1404"/>
      <c r="T1134" s="1404"/>
      <c r="U1134" s="1404"/>
      <c r="V1134" s="1404"/>
      <c r="W1134" s="1404"/>
      <c r="X1134" s="1404"/>
      <c r="Y1134" s="1404"/>
      <c r="Z1134" s="1404"/>
      <c r="AA1134" s="1404"/>
      <c r="AB1134" s="1404"/>
      <c r="AC1134" s="1404"/>
      <c r="AD1134" s="1404"/>
      <c r="AE1134" s="1404"/>
      <c r="AF1134" s="1404"/>
      <c r="AG1134" s="1404"/>
      <c r="AH1134" s="1404"/>
      <c r="AI1134" s="1404"/>
      <c r="AJ1134" s="1404"/>
      <c r="AK1134" s="1404"/>
    </row>
    <row r="1135" spans="1:37" ht="0" hidden="1" customHeight="1">
      <c r="A1135" s="84"/>
      <c r="B1135" s="21"/>
      <c r="C1135" s="1207"/>
      <c r="D1135" s="1404"/>
      <c r="E1135" s="1404"/>
      <c r="F1135" s="1404"/>
      <c r="G1135" s="1404"/>
      <c r="H1135" s="1404"/>
      <c r="I1135" s="1404"/>
      <c r="J1135" s="1404"/>
      <c r="K1135" s="1404"/>
      <c r="L1135" s="1404"/>
      <c r="M1135" s="1404"/>
      <c r="N1135" s="1404"/>
      <c r="O1135" s="1404"/>
      <c r="P1135" s="1404"/>
      <c r="Q1135" s="1404"/>
      <c r="R1135" s="1404"/>
      <c r="S1135" s="1404"/>
      <c r="T1135" s="1404"/>
      <c r="U1135" s="1404"/>
      <c r="V1135" s="1404"/>
      <c r="W1135" s="1404"/>
      <c r="X1135" s="1404"/>
      <c r="Y1135" s="1404"/>
      <c r="Z1135" s="1404"/>
      <c r="AA1135" s="1404"/>
      <c r="AB1135" s="1404"/>
      <c r="AC1135" s="1404"/>
      <c r="AD1135" s="1404"/>
      <c r="AE1135" s="1404"/>
      <c r="AF1135" s="1404"/>
      <c r="AG1135" s="1404"/>
      <c r="AH1135" s="1404"/>
      <c r="AI1135" s="1404"/>
      <c r="AJ1135" s="1404"/>
      <c r="AK1135" s="1404"/>
    </row>
    <row r="1136" spans="1:37" ht="0" hidden="1" customHeight="1">
      <c r="D1136" s="1404"/>
      <c r="E1136" s="1404"/>
      <c r="F1136" s="1404"/>
      <c r="G1136" s="1404"/>
      <c r="H1136" s="1404"/>
      <c r="I1136" s="1404"/>
      <c r="J1136" s="1404"/>
      <c r="K1136" s="1404"/>
      <c r="L1136" s="1404"/>
      <c r="M1136" s="1404"/>
      <c r="N1136" s="1404"/>
      <c r="O1136" s="1404"/>
      <c r="P1136" s="1404"/>
      <c r="Q1136" s="1404"/>
      <c r="R1136" s="1404"/>
      <c r="S1136" s="1404"/>
      <c r="T1136" s="1404"/>
      <c r="U1136" s="1404"/>
      <c r="V1136" s="1404"/>
      <c r="W1136" s="1404"/>
      <c r="X1136" s="1404"/>
      <c r="Y1136" s="1404"/>
      <c r="Z1136" s="1404"/>
      <c r="AA1136" s="1404"/>
      <c r="AB1136" s="1404"/>
      <c r="AC1136" s="1404"/>
      <c r="AD1136" s="1404"/>
      <c r="AE1136" s="1404"/>
      <c r="AF1136" s="1404"/>
      <c r="AG1136" s="1404"/>
      <c r="AH1136" s="1404"/>
      <c r="AI1136" s="1404"/>
      <c r="AJ1136" s="1404"/>
      <c r="AK1136" s="1404"/>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Z676:AK676"/>
    <mergeCell ref="AA680:AK680"/>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40" sqref="C4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1780</v>
      </c>
      <c r="B1" s="91"/>
      <c r="C1" s="91"/>
      <c r="D1" s="91"/>
      <c r="E1" s="92"/>
      <c r="F1" s="1796" t="s">
        <v>1781</v>
      </c>
      <c r="G1" s="1797"/>
      <c r="H1" s="1797"/>
      <c r="I1" s="1797"/>
      <c r="J1" s="1797"/>
      <c r="K1" s="1797"/>
      <c r="L1" s="1797"/>
      <c r="M1" s="1797"/>
      <c r="N1" s="1797"/>
      <c r="O1" s="1797"/>
      <c r="P1" s="1797"/>
      <c r="Q1" s="1797"/>
      <c r="R1" s="1798"/>
      <c r="S1" s="80"/>
      <c r="T1" s="79"/>
      <c r="U1" s="81"/>
    </row>
    <row r="2" spans="1:21" s="101" customFormat="1" ht="71.25" customHeight="1">
      <c r="A2" s="100"/>
      <c r="B2" s="101" t="s">
        <v>1782</v>
      </c>
      <c r="C2" s="101" t="s">
        <v>1783</v>
      </c>
      <c r="D2" s="101" t="s">
        <v>1784</v>
      </c>
      <c r="E2" s="101" t="s">
        <v>1785</v>
      </c>
      <c r="F2" s="102" t="str">
        <f>Application!B635&amp;Application!C635</f>
        <v>1)Key Bank Permanent Mortgage</v>
      </c>
      <c r="G2" s="102" t="str">
        <f>Application!B636&amp;Application!C636</f>
        <v>2)HCD Joe Serna, Jr. FWHG</v>
      </c>
      <c r="H2" s="102" t="str">
        <f>Application!B637&amp;Application!C637</f>
        <v>3)HCD VHHP</v>
      </c>
      <c r="I2" s="102" t="str">
        <f>Application!B638&amp;Application!C638</f>
        <v>4)Deferred Developer Fee</v>
      </c>
      <c r="J2" s="102" t="str">
        <f>Application!B639&amp;Application!C639</f>
        <v>5)Accrued Soft Loan Interest</v>
      </c>
      <c r="K2" s="102" t="str">
        <f>Application!B640&amp;Application!C640</f>
        <v>6)GP Equity</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1786</v>
      </c>
      <c r="S2" s="101" t="s">
        <v>1787</v>
      </c>
      <c r="T2" s="101" t="s">
        <v>1788</v>
      </c>
      <c r="U2" s="103"/>
    </row>
    <row r="3" spans="1:21" s="105" customFormat="1">
      <c r="A3" s="104" t="s">
        <v>1789</v>
      </c>
      <c r="B3" s="1208"/>
      <c r="C3" s="1208"/>
      <c r="D3" s="1208"/>
      <c r="E3" s="1208"/>
      <c r="F3" s="1208"/>
      <c r="G3" s="1208"/>
      <c r="H3" s="1208"/>
      <c r="I3" s="1208"/>
      <c r="J3" s="1208"/>
      <c r="K3" s="1208"/>
      <c r="L3" s="1208"/>
      <c r="M3" s="1208"/>
      <c r="N3" s="1208"/>
      <c r="O3" s="1208"/>
      <c r="P3" s="1208"/>
      <c r="Q3" s="1208"/>
      <c r="R3" s="1208"/>
      <c r="S3" s="1208"/>
      <c r="T3" s="1208"/>
      <c r="U3" s="1209"/>
    </row>
    <row r="4" spans="1:21" s="105" customFormat="1">
      <c r="A4" s="195" t="s">
        <v>1790</v>
      </c>
      <c r="B4" s="245">
        <f>SUM(C4+D4)</f>
        <v>1805673</v>
      </c>
      <c r="C4" s="868">
        <f>'[2]4%main spreadsheet'!$BW$29</f>
        <v>1805673</v>
      </c>
      <c r="D4" s="868"/>
      <c r="E4" s="868">
        <f>B4-SUM(F4:Q4)</f>
        <v>1805673</v>
      </c>
      <c r="F4" s="868"/>
      <c r="G4" s="868"/>
      <c r="H4" s="868"/>
      <c r="I4" s="868"/>
      <c r="J4" s="868"/>
      <c r="K4" s="868"/>
      <c r="L4" s="868"/>
      <c r="M4" s="868"/>
      <c r="N4" s="868"/>
      <c r="O4" s="868"/>
      <c r="P4" s="868"/>
      <c r="Q4" s="868"/>
      <c r="R4" s="416">
        <f>SUM(E4:Q4)</f>
        <v>1805673</v>
      </c>
      <c r="S4" s="1210"/>
      <c r="T4" s="1210"/>
      <c r="U4" s="1209"/>
    </row>
    <row r="5" spans="1:21" s="105" customFormat="1">
      <c r="A5" s="195" t="s">
        <v>697</v>
      </c>
      <c r="B5" s="245">
        <f>SUM(C5+D5)</f>
        <v>0</v>
      </c>
      <c r="C5" s="868"/>
      <c r="D5" s="868"/>
      <c r="E5" s="868">
        <f t="shared" ref="E5:E7" si="0">B5-SUM(F5:Q5)</f>
        <v>0</v>
      </c>
      <c r="F5" s="868"/>
      <c r="G5" s="868"/>
      <c r="H5" s="868"/>
      <c r="I5" s="868"/>
      <c r="J5" s="868"/>
      <c r="K5" s="868"/>
      <c r="L5" s="868"/>
      <c r="M5" s="868"/>
      <c r="N5" s="868"/>
      <c r="O5" s="868"/>
      <c r="P5" s="868"/>
      <c r="Q5" s="868"/>
      <c r="R5" s="416">
        <f>SUM(E5:Q5)</f>
        <v>0</v>
      </c>
      <c r="S5" s="1210"/>
      <c r="T5" s="1210"/>
      <c r="U5" s="1209"/>
    </row>
    <row r="6" spans="1:21" s="105" customFormat="1">
      <c r="A6" s="195" t="s">
        <v>1791</v>
      </c>
      <c r="B6" s="245">
        <f>SUM(C6+D6)</f>
        <v>41196</v>
      </c>
      <c r="C6" s="868">
        <f>'[2]4%main spreadsheet'!$BW$31</f>
        <v>41196</v>
      </c>
      <c r="D6" s="868"/>
      <c r="E6" s="868">
        <f t="shared" si="0"/>
        <v>41196</v>
      </c>
      <c r="F6" s="868"/>
      <c r="G6" s="868"/>
      <c r="H6" s="868"/>
      <c r="I6" s="868"/>
      <c r="J6" s="868"/>
      <c r="K6" s="868"/>
      <c r="L6" s="868"/>
      <c r="M6" s="868"/>
      <c r="N6" s="868"/>
      <c r="O6" s="868"/>
      <c r="P6" s="868"/>
      <c r="Q6" s="868"/>
      <c r="R6" s="416">
        <f>SUM(E6:Q6)</f>
        <v>41196</v>
      </c>
      <c r="S6" s="1210"/>
      <c r="T6" s="1210"/>
      <c r="U6" s="1209"/>
    </row>
    <row r="7" spans="1:21" s="105" customFormat="1">
      <c r="A7" s="195" t="s">
        <v>1792</v>
      </c>
      <c r="B7" s="245">
        <f>SUM(C7+D7)</f>
        <v>0</v>
      </c>
      <c r="C7" s="868"/>
      <c r="D7" s="868"/>
      <c r="E7" s="868">
        <f t="shared" si="0"/>
        <v>0</v>
      </c>
      <c r="F7" s="868"/>
      <c r="G7" s="868"/>
      <c r="H7" s="868"/>
      <c r="I7" s="868"/>
      <c r="J7" s="868"/>
      <c r="K7" s="868"/>
      <c r="L7" s="868"/>
      <c r="M7" s="868"/>
      <c r="N7" s="868"/>
      <c r="O7" s="868"/>
      <c r="P7" s="868"/>
      <c r="Q7" s="868"/>
      <c r="R7" s="416">
        <f>SUM(E7:Q7)</f>
        <v>0</v>
      </c>
      <c r="S7" s="1210"/>
      <c r="T7" s="1210"/>
      <c r="U7" s="1209"/>
    </row>
    <row r="8" spans="1:21" s="105" customFormat="1">
      <c r="A8" s="106" t="s">
        <v>1793</v>
      </c>
      <c r="B8" s="245">
        <f>SUM(C8:D8)</f>
        <v>1846869</v>
      </c>
      <c r="C8" s="245">
        <f t="shared" ref="C8:Q8" si="1">SUM(C4:C7)</f>
        <v>1846869</v>
      </c>
      <c r="D8" s="245">
        <f t="shared" si="1"/>
        <v>0</v>
      </c>
      <c r="E8" s="245">
        <f t="shared" si="1"/>
        <v>1846869</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1846869</v>
      </c>
      <c r="S8" s="1210"/>
      <c r="T8" s="1210"/>
      <c r="U8" s="1209"/>
    </row>
    <row r="9" spans="1:21" s="105" customFormat="1">
      <c r="A9" s="195" t="s">
        <v>1794</v>
      </c>
      <c r="B9" s="245">
        <f>SUM(C9+D9)</f>
        <v>0</v>
      </c>
      <c r="C9" s="868"/>
      <c r="D9" s="868"/>
      <c r="E9" s="868"/>
      <c r="F9" s="868"/>
      <c r="G9" s="868"/>
      <c r="H9" s="868"/>
      <c r="I9" s="868"/>
      <c r="J9" s="868"/>
      <c r="K9" s="868"/>
      <c r="L9" s="868"/>
      <c r="M9" s="868"/>
      <c r="N9" s="868"/>
      <c r="O9" s="868"/>
      <c r="P9" s="868"/>
      <c r="Q9" s="868"/>
      <c r="R9" s="416">
        <f>SUM(E9:Q9)</f>
        <v>0</v>
      </c>
      <c r="S9" s="1210"/>
      <c r="T9" s="868"/>
      <c r="U9" s="1209"/>
    </row>
    <row r="10" spans="1:21" s="105" customFormat="1">
      <c r="A10" s="195" t="s">
        <v>1795</v>
      </c>
      <c r="B10" s="245">
        <f>SUM(C10+D10)</f>
        <v>0</v>
      </c>
      <c r="C10" s="868"/>
      <c r="D10" s="868"/>
      <c r="E10" s="868"/>
      <c r="F10" s="868"/>
      <c r="G10" s="868"/>
      <c r="H10" s="868"/>
      <c r="I10" s="868"/>
      <c r="J10" s="868"/>
      <c r="K10" s="868"/>
      <c r="L10" s="868"/>
      <c r="M10" s="868"/>
      <c r="N10" s="868"/>
      <c r="O10" s="868"/>
      <c r="P10" s="868"/>
      <c r="Q10" s="868"/>
      <c r="R10" s="416">
        <f>SUM(E10:Q10)</f>
        <v>0</v>
      </c>
      <c r="S10" s="868"/>
      <c r="T10" s="868"/>
      <c r="U10" s="1209"/>
    </row>
    <row r="11" spans="1:21" s="105" customFormat="1">
      <c r="A11" s="106" t="s">
        <v>1796</v>
      </c>
      <c r="B11" s="245">
        <f>SUM(C11:D11)</f>
        <v>0</v>
      </c>
      <c r="C11" s="245">
        <f t="shared" ref="C11:Q11" si="2">SUM(C9:C10)</f>
        <v>0</v>
      </c>
      <c r="D11" s="245">
        <f t="shared" si="2"/>
        <v>0</v>
      </c>
      <c r="E11" s="245">
        <f t="shared" si="2"/>
        <v>0</v>
      </c>
      <c r="F11" s="245">
        <f t="shared" si="2"/>
        <v>0</v>
      </c>
      <c r="G11" s="245">
        <f t="shared" si="2"/>
        <v>0</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0</v>
      </c>
      <c r="S11" s="1210"/>
      <c r="T11" s="107">
        <f>SUM(T9:T10)</f>
        <v>0</v>
      </c>
      <c r="U11" s="1209"/>
    </row>
    <row r="12" spans="1:21" s="105" customFormat="1">
      <c r="A12" s="106" t="s">
        <v>1797</v>
      </c>
      <c r="B12" s="245">
        <f t="shared" ref="B12:Q12" si="3">SUM(B8+B11)</f>
        <v>1846869</v>
      </c>
      <c r="C12" s="245">
        <f t="shared" si="3"/>
        <v>1846869</v>
      </c>
      <c r="D12" s="245">
        <f t="shared" si="3"/>
        <v>0</v>
      </c>
      <c r="E12" s="245">
        <f t="shared" si="3"/>
        <v>1846869</v>
      </c>
      <c r="F12" s="245">
        <f t="shared" si="3"/>
        <v>0</v>
      </c>
      <c r="G12" s="245">
        <f t="shared" si="3"/>
        <v>0</v>
      </c>
      <c r="H12" s="245">
        <f t="shared" si="3"/>
        <v>0</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1846869</v>
      </c>
      <c r="S12" s="1210"/>
      <c r="T12" s="1210"/>
      <c r="U12" s="1209"/>
    </row>
    <row r="13" spans="1:21" s="105" customFormat="1">
      <c r="A13" s="197" t="s">
        <v>1798</v>
      </c>
      <c r="B13" s="245">
        <f>SUM(C13+D13)</f>
        <v>956980</v>
      </c>
      <c r="C13" s="868">
        <f>ROUND('[2]4%main spreadsheet'!$BW$32+'[2]4%main spreadsheet'!$BW$59+'[2]4%main spreadsheet'!$BW$30,0)</f>
        <v>956980</v>
      </c>
      <c r="D13" s="868"/>
      <c r="E13" s="868">
        <f t="shared" ref="E13:E15" si="4">B13-SUM(F13:Q13)</f>
        <v>956980</v>
      </c>
      <c r="F13" s="868"/>
      <c r="G13" s="868"/>
      <c r="H13" s="868"/>
      <c r="I13" s="868"/>
      <c r="J13" s="868"/>
      <c r="K13" s="868"/>
      <c r="L13" s="868"/>
      <c r="M13" s="868"/>
      <c r="N13" s="868"/>
      <c r="O13" s="868"/>
      <c r="P13" s="868"/>
      <c r="Q13" s="868"/>
      <c r="R13" s="416">
        <f>SUM(E13:Q13)</f>
        <v>956980</v>
      </c>
      <c r="S13" s="868">
        <f>'[2]4%main spreadsheet'!$BW$59</f>
        <v>270000</v>
      </c>
      <c r="T13" s="868"/>
      <c r="U13" s="1209"/>
    </row>
    <row r="14" spans="1:21" s="105" customFormat="1" ht="24">
      <c r="A14" s="198" t="s">
        <v>1799</v>
      </c>
      <c r="B14" s="245">
        <f>SUM(C14+D14)</f>
        <v>0</v>
      </c>
      <c r="C14" s="868"/>
      <c r="D14" s="868"/>
      <c r="E14" s="868">
        <f t="shared" si="4"/>
        <v>0</v>
      </c>
      <c r="F14" s="868"/>
      <c r="G14" s="868"/>
      <c r="H14" s="868"/>
      <c r="I14" s="868"/>
      <c r="J14" s="868"/>
      <c r="K14" s="868"/>
      <c r="L14" s="868"/>
      <c r="M14" s="868"/>
      <c r="N14" s="868"/>
      <c r="O14" s="868"/>
      <c r="P14" s="868"/>
      <c r="Q14" s="868"/>
      <c r="R14" s="416">
        <f>SUM(E14:Q14)</f>
        <v>0</v>
      </c>
      <c r="S14" s="868"/>
      <c r="T14" s="868"/>
      <c r="U14" s="1209"/>
    </row>
    <row r="15" spans="1:21" s="105" customFormat="1">
      <c r="A15" s="198" t="s">
        <v>1800</v>
      </c>
      <c r="B15" s="245">
        <f>SUM(C15+D15)</f>
        <v>0</v>
      </c>
      <c r="C15" s="868"/>
      <c r="D15" s="868"/>
      <c r="E15" s="868">
        <f t="shared" si="4"/>
        <v>0</v>
      </c>
      <c r="F15" s="868"/>
      <c r="G15" s="868"/>
      <c r="H15" s="868"/>
      <c r="I15" s="868"/>
      <c r="J15" s="868"/>
      <c r="K15" s="868"/>
      <c r="L15" s="868"/>
      <c r="M15" s="868"/>
      <c r="N15" s="868"/>
      <c r="O15" s="868"/>
      <c r="P15" s="868"/>
      <c r="Q15" s="868"/>
      <c r="R15" s="416">
        <f>SUM(E15:Q15)</f>
        <v>0</v>
      </c>
      <c r="S15" s="1210"/>
      <c r="T15" s="1210"/>
      <c r="U15" s="1209"/>
    </row>
    <row r="16" spans="1:21" s="105" customFormat="1">
      <c r="A16" s="104" t="s">
        <v>1801</v>
      </c>
      <c r="B16" s="1208"/>
      <c r="C16" s="1208"/>
      <c r="D16" s="1208"/>
      <c r="E16" s="246"/>
      <c r="F16" s="246"/>
      <c r="G16" s="246"/>
      <c r="H16" s="246"/>
      <c r="I16" s="246"/>
      <c r="J16" s="246"/>
      <c r="K16" s="246"/>
      <c r="L16" s="246"/>
      <c r="M16" s="246"/>
      <c r="N16" s="246"/>
      <c r="O16" s="246"/>
      <c r="P16" s="246"/>
      <c r="Q16" s="246"/>
      <c r="R16" s="246"/>
      <c r="S16" s="1208"/>
      <c r="T16" s="1208"/>
      <c r="U16" s="1209"/>
    </row>
    <row r="17" spans="1:21" s="105" customFormat="1">
      <c r="A17" s="195" t="s">
        <v>1802</v>
      </c>
      <c r="B17" s="245">
        <f t="shared" ref="B17:B26" si="5">SUM(C17+D17)</f>
        <v>0</v>
      </c>
      <c r="C17" s="868"/>
      <c r="D17" s="868"/>
      <c r="E17" s="868"/>
      <c r="F17" s="868"/>
      <c r="G17" s="868"/>
      <c r="H17" s="868"/>
      <c r="I17" s="868"/>
      <c r="J17" s="868"/>
      <c r="K17" s="868"/>
      <c r="L17" s="868"/>
      <c r="M17" s="868"/>
      <c r="N17" s="868"/>
      <c r="O17" s="868"/>
      <c r="P17" s="868"/>
      <c r="Q17" s="868"/>
      <c r="R17" s="416">
        <f>SUM(E17:Q17)</f>
        <v>0</v>
      </c>
      <c r="S17" s="868"/>
      <c r="T17" s="868"/>
      <c r="U17" s="1209"/>
    </row>
    <row r="18" spans="1:21" s="105" customFormat="1">
      <c r="A18" s="195" t="s">
        <v>1803</v>
      </c>
      <c r="B18" s="245">
        <f t="shared" si="5"/>
        <v>0</v>
      </c>
      <c r="C18" s="868"/>
      <c r="D18" s="868"/>
      <c r="E18" s="868"/>
      <c r="F18" s="868"/>
      <c r="G18" s="868"/>
      <c r="H18" s="868"/>
      <c r="I18" s="868"/>
      <c r="J18" s="868"/>
      <c r="K18" s="868"/>
      <c r="L18" s="868"/>
      <c r="M18" s="868"/>
      <c r="N18" s="868"/>
      <c r="O18" s="868"/>
      <c r="P18" s="868"/>
      <c r="Q18" s="868"/>
      <c r="R18" s="416">
        <f>SUM(E18:Q18)</f>
        <v>0</v>
      </c>
      <c r="S18" s="868"/>
      <c r="T18" s="868"/>
      <c r="U18" s="1209"/>
    </row>
    <row r="19" spans="1:21" s="105" customFormat="1">
      <c r="A19" s="195" t="s">
        <v>1804</v>
      </c>
      <c r="B19" s="245">
        <f t="shared" si="5"/>
        <v>0</v>
      </c>
      <c r="C19" s="868"/>
      <c r="D19" s="868"/>
      <c r="E19" s="868"/>
      <c r="F19" s="868"/>
      <c r="G19" s="868"/>
      <c r="H19" s="868"/>
      <c r="I19" s="868"/>
      <c r="J19" s="868"/>
      <c r="K19" s="868"/>
      <c r="L19" s="868"/>
      <c r="M19" s="868"/>
      <c r="N19" s="868"/>
      <c r="O19" s="868"/>
      <c r="P19" s="868"/>
      <c r="Q19" s="868"/>
      <c r="R19" s="416">
        <f>SUM(E19:Q19)</f>
        <v>0</v>
      </c>
      <c r="S19" s="868"/>
      <c r="T19" s="868"/>
      <c r="U19" s="1209"/>
    </row>
    <row r="20" spans="1:21" s="105" customFormat="1">
      <c r="A20" s="195" t="s">
        <v>1805</v>
      </c>
      <c r="B20" s="245">
        <f t="shared" si="5"/>
        <v>0</v>
      </c>
      <c r="C20" s="868"/>
      <c r="D20" s="868"/>
      <c r="E20" s="868"/>
      <c r="F20" s="868"/>
      <c r="G20" s="868"/>
      <c r="H20" s="868"/>
      <c r="I20" s="868"/>
      <c r="J20" s="868"/>
      <c r="K20" s="868"/>
      <c r="L20" s="868"/>
      <c r="M20" s="868"/>
      <c r="N20" s="868"/>
      <c r="O20" s="868"/>
      <c r="P20" s="868"/>
      <c r="Q20" s="868"/>
      <c r="R20" s="416">
        <f t="shared" ref="R20:R27" si="6">SUM(E20:Q20)</f>
        <v>0</v>
      </c>
      <c r="S20" s="868"/>
      <c r="T20" s="868"/>
      <c r="U20" s="1209"/>
    </row>
    <row r="21" spans="1:21" s="105" customFormat="1">
      <c r="A21" s="195" t="s">
        <v>1806</v>
      </c>
      <c r="B21" s="245">
        <f t="shared" si="5"/>
        <v>0</v>
      </c>
      <c r="C21" s="868"/>
      <c r="D21" s="868"/>
      <c r="E21" s="868"/>
      <c r="F21" s="868"/>
      <c r="G21" s="868"/>
      <c r="H21" s="868"/>
      <c r="I21" s="868"/>
      <c r="J21" s="868"/>
      <c r="K21" s="868"/>
      <c r="L21" s="868"/>
      <c r="M21" s="868"/>
      <c r="N21" s="868"/>
      <c r="O21" s="868"/>
      <c r="P21" s="868"/>
      <c r="Q21" s="868"/>
      <c r="R21" s="416">
        <f t="shared" si="6"/>
        <v>0</v>
      </c>
      <c r="S21" s="868"/>
      <c r="T21" s="868"/>
      <c r="U21" s="1209"/>
    </row>
    <row r="22" spans="1:21" s="105" customFormat="1">
      <c r="A22" s="195" t="s">
        <v>1807</v>
      </c>
      <c r="B22" s="245">
        <f t="shared" si="5"/>
        <v>0</v>
      </c>
      <c r="C22" s="868"/>
      <c r="D22" s="868"/>
      <c r="E22" s="868"/>
      <c r="F22" s="868"/>
      <c r="G22" s="868"/>
      <c r="H22" s="868"/>
      <c r="I22" s="868"/>
      <c r="J22" s="868"/>
      <c r="K22" s="868"/>
      <c r="L22" s="868"/>
      <c r="M22" s="868"/>
      <c r="N22" s="868"/>
      <c r="O22" s="868"/>
      <c r="P22" s="868"/>
      <c r="Q22" s="868"/>
      <c r="R22" s="416">
        <f t="shared" si="6"/>
        <v>0</v>
      </c>
      <c r="S22" s="868"/>
      <c r="T22" s="868"/>
      <c r="U22" s="1209"/>
    </row>
    <row r="23" spans="1:21" s="105" customFormat="1">
      <c r="A23" s="195" t="s">
        <v>1808</v>
      </c>
      <c r="B23" s="245">
        <f t="shared" si="5"/>
        <v>0</v>
      </c>
      <c r="C23" s="868"/>
      <c r="D23" s="868"/>
      <c r="E23" s="868"/>
      <c r="F23" s="868"/>
      <c r="G23" s="868"/>
      <c r="H23" s="868"/>
      <c r="I23" s="868"/>
      <c r="J23" s="868"/>
      <c r="K23" s="868"/>
      <c r="L23" s="868"/>
      <c r="M23" s="868"/>
      <c r="N23" s="868"/>
      <c r="O23" s="868"/>
      <c r="P23" s="868"/>
      <c r="Q23" s="868"/>
      <c r="R23" s="416">
        <f t="shared" si="6"/>
        <v>0</v>
      </c>
      <c r="S23" s="868"/>
      <c r="T23" s="868"/>
      <c r="U23" s="1209"/>
    </row>
    <row r="24" spans="1:21" s="105" customFormat="1">
      <c r="A24" s="409" t="s">
        <v>1809</v>
      </c>
      <c r="B24" s="245">
        <f t="shared" si="5"/>
        <v>0</v>
      </c>
      <c r="C24" s="868"/>
      <c r="D24" s="868"/>
      <c r="E24" s="868"/>
      <c r="F24" s="868"/>
      <c r="G24" s="868"/>
      <c r="H24" s="868"/>
      <c r="I24" s="868"/>
      <c r="J24" s="868"/>
      <c r="K24" s="868"/>
      <c r="L24" s="868"/>
      <c r="M24" s="868"/>
      <c r="N24" s="868"/>
      <c r="O24" s="868"/>
      <c r="P24" s="868"/>
      <c r="Q24" s="868"/>
      <c r="R24" s="416">
        <f t="shared" si="6"/>
        <v>0</v>
      </c>
      <c r="S24" s="868"/>
      <c r="T24" s="868"/>
      <c r="U24" s="1209"/>
    </row>
    <row r="25" spans="1:21" s="105" customFormat="1">
      <c r="A25" s="1032" t="s">
        <v>1810</v>
      </c>
      <c r="B25" s="245">
        <f t="shared" si="5"/>
        <v>0</v>
      </c>
      <c r="C25" s="868"/>
      <c r="D25" s="868"/>
      <c r="E25" s="868"/>
      <c r="F25" s="868"/>
      <c r="G25" s="868"/>
      <c r="H25" s="868"/>
      <c r="I25" s="868"/>
      <c r="J25" s="868"/>
      <c r="K25" s="868"/>
      <c r="L25" s="868"/>
      <c r="M25" s="868"/>
      <c r="N25" s="868"/>
      <c r="O25" s="868"/>
      <c r="P25" s="868"/>
      <c r="Q25" s="868"/>
      <c r="R25" s="416">
        <f t="shared" si="6"/>
        <v>0</v>
      </c>
      <c r="S25" s="868"/>
      <c r="T25" s="868"/>
      <c r="U25" s="1209"/>
    </row>
    <row r="26" spans="1:21" s="105" customFormat="1">
      <c r="A26" s="106" t="s">
        <v>1811</v>
      </c>
      <c r="B26" s="245">
        <f t="shared" si="5"/>
        <v>0</v>
      </c>
      <c r="C26" s="245">
        <f>SUM(C17:C25)</f>
        <v>0</v>
      </c>
      <c r="D26" s="245">
        <f t="shared" ref="D26:Q26" si="7">SUM(D17:D25)</f>
        <v>0</v>
      </c>
      <c r="E26" s="245">
        <f t="shared" si="7"/>
        <v>0</v>
      </c>
      <c r="F26" s="245">
        <f t="shared" si="7"/>
        <v>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0</v>
      </c>
      <c r="S26" s="107">
        <f>SUM(S17:S25)</f>
        <v>0</v>
      </c>
      <c r="T26" s="107">
        <f>SUM(T17:T25)</f>
        <v>0</v>
      </c>
      <c r="U26" s="1209"/>
    </row>
    <row r="27" spans="1:21" s="105" customFormat="1">
      <c r="A27" s="106" t="s">
        <v>1812</v>
      </c>
      <c r="B27" s="245">
        <f>SUM(C27:D27)</f>
        <v>0</v>
      </c>
      <c r="C27" s="868"/>
      <c r="D27" s="868"/>
      <c r="E27" s="868"/>
      <c r="F27" s="868"/>
      <c r="G27" s="868"/>
      <c r="H27" s="868"/>
      <c r="I27" s="868"/>
      <c r="J27" s="868"/>
      <c r="K27" s="868"/>
      <c r="L27" s="868"/>
      <c r="M27" s="868"/>
      <c r="N27" s="868"/>
      <c r="O27" s="868"/>
      <c r="P27" s="868"/>
      <c r="Q27" s="868"/>
      <c r="R27" s="416">
        <f t="shared" si="6"/>
        <v>0</v>
      </c>
      <c r="S27" s="868"/>
      <c r="T27" s="868"/>
      <c r="U27" s="1209"/>
    </row>
    <row r="28" spans="1:21" s="105" customFormat="1">
      <c r="A28" s="104" t="s">
        <v>1813</v>
      </c>
      <c r="B28" s="1208"/>
      <c r="C28" s="1208"/>
      <c r="D28" s="1208"/>
      <c r="E28" s="246"/>
      <c r="F28" s="246"/>
      <c r="G28" s="246"/>
      <c r="H28" s="246"/>
      <c r="I28" s="246"/>
      <c r="J28" s="246"/>
      <c r="K28" s="246"/>
      <c r="L28" s="246"/>
      <c r="M28" s="246"/>
      <c r="N28" s="246"/>
      <c r="O28" s="246"/>
      <c r="P28" s="246"/>
      <c r="Q28" s="246"/>
      <c r="R28" s="246"/>
      <c r="S28" s="1208"/>
      <c r="T28" s="1208"/>
      <c r="U28" s="1209"/>
    </row>
    <row r="29" spans="1:21" s="105" customFormat="1">
      <c r="A29" s="195" t="s">
        <v>1802</v>
      </c>
      <c r="B29" s="245">
        <f t="shared" ref="B29:B38" si="8">SUM(C29+D29)</f>
        <v>6152485</v>
      </c>
      <c r="C29" s="868">
        <f>ROUND('[2]4%main spreadsheet'!$BW$34,0)</f>
        <v>6152485</v>
      </c>
      <c r="D29" s="868"/>
      <c r="E29" s="868">
        <f t="shared" ref="E29:E37" si="9">B29-SUM(F29:Q29)</f>
        <v>6152485</v>
      </c>
      <c r="F29" s="868"/>
      <c r="G29" s="868"/>
      <c r="H29" s="868"/>
      <c r="I29" s="868"/>
      <c r="J29" s="868"/>
      <c r="K29" s="868"/>
      <c r="L29" s="868"/>
      <c r="M29" s="868"/>
      <c r="N29" s="868"/>
      <c r="O29" s="868"/>
      <c r="P29" s="868"/>
      <c r="Q29" s="868"/>
      <c r="R29" s="416">
        <f t="shared" ref="R29:R37" si="10">SUM(E29:Q29)</f>
        <v>6152485</v>
      </c>
      <c r="S29" s="868">
        <f>R29</f>
        <v>6152485</v>
      </c>
      <c r="T29" s="868"/>
      <c r="U29" s="1209"/>
    </row>
    <row r="30" spans="1:21" s="105" customFormat="1">
      <c r="A30" s="195" t="s">
        <v>1803</v>
      </c>
      <c r="B30" s="245">
        <f t="shared" si="8"/>
        <v>41536164</v>
      </c>
      <c r="C30" s="868">
        <f>ROUND('[2]4%main spreadsheet'!$BW$35+'[2]4%main spreadsheet'!$BW$45+'[2]4%main spreadsheet'!$BW$42,0)</f>
        <v>41536164</v>
      </c>
      <c r="D30" s="868"/>
      <c r="E30" s="868">
        <f t="shared" si="9"/>
        <v>10102529</v>
      </c>
      <c r="F30" s="868">
        <f>Application!AO635</f>
        <v>12420000</v>
      </c>
      <c r="G30" s="868">
        <f>Application!AO636</f>
        <v>9832515</v>
      </c>
      <c r="H30" s="868">
        <f>Application!AO637</f>
        <v>9181020</v>
      </c>
      <c r="I30" s="868"/>
      <c r="J30" s="868"/>
      <c r="K30" s="868">
        <f>Application!AO640</f>
        <v>100</v>
      </c>
      <c r="L30" s="868"/>
      <c r="M30" s="868"/>
      <c r="N30" s="868"/>
      <c r="O30" s="868"/>
      <c r="P30" s="868"/>
      <c r="Q30" s="868"/>
      <c r="R30" s="416">
        <f t="shared" si="10"/>
        <v>41536164</v>
      </c>
      <c r="S30" s="868">
        <f t="shared" ref="S30:S37" si="11">R30</f>
        <v>41536164</v>
      </c>
      <c r="T30" s="868"/>
      <c r="U30" s="1209"/>
    </row>
    <row r="31" spans="1:21" s="105" customFormat="1">
      <c r="A31" s="195" t="s">
        <v>1804</v>
      </c>
      <c r="B31" s="245">
        <f t="shared" si="8"/>
        <v>1757046</v>
      </c>
      <c r="C31" s="868">
        <f>ROUND('[2]4%main spreadsheet'!$BW$37,0)</f>
        <v>1757046</v>
      </c>
      <c r="D31" s="868"/>
      <c r="E31" s="868">
        <f t="shared" si="9"/>
        <v>1757046</v>
      </c>
      <c r="F31" s="868"/>
      <c r="G31" s="868"/>
      <c r="H31" s="868"/>
      <c r="I31" s="868"/>
      <c r="J31" s="868"/>
      <c r="K31" s="868"/>
      <c r="L31" s="868"/>
      <c r="M31" s="868"/>
      <c r="N31" s="868"/>
      <c r="O31" s="868"/>
      <c r="P31" s="868"/>
      <c r="Q31" s="868"/>
      <c r="R31" s="416">
        <f t="shared" si="10"/>
        <v>1757046</v>
      </c>
      <c r="S31" s="868">
        <f t="shared" si="11"/>
        <v>1757046</v>
      </c>
      <c r="T31" s="868"/>
      <c r="U31" s="1209"/>
    </row>
    <row r="32" spans="1:21" s="105" customFormat="1">
      <c r="A32" s="195" t="s">
        <v>1805</v>
      </c>
      <c r="B32" s="245">
        <f t="shared" si="8"/>
        <v>1186022</v>
      </c>
      <c r="C32" s="868">
        <f>ROUND('[2]4%main spreadsheet'!$BW$39/2,0)</f>
        <v>1186022</v>
      </c>
      <c r="D32" s="868"/>
      <c r="E32" s="868">
        <f t="shared" si="9"/>
        <v>1186022</v>
      </c>
      <c r="F32" s="868"/>
      <c r="G32" s="868"/>
      <c r="H32" s="868"/>
      <c r="I32" s="868"/>
      <c r="J32" s="868"/>
      <c r="K32" s="868"/>
      <c r="L32" s="868"/>
      <c r="M32" s="868"/>
      <c r="N32" s="868"/>
      <c r="O32" s="868"/>
      <c r="P32" s="868"/>
      <c r="Q32" s="868"/>
      <c r="R32" s="416">
        <f t="shared" si="10"/>
        <v>1186022</v>
      </c>
      <c r="S32" s="868">
        <f t="shared" si="11"/>
        <v>1186022</v>
      </c>
      <c r="T32" s="868"/>
      <c r="U32" s="1209"/>
    </row>
    <row r="33" spans="1:21" s="105" customFormat="1">
      <c r="A33" s="195" t="s">
        <v>1806</v>
      </c>
      <c r="B33" s="245">
        <f t="shared" si="8"/>
        <v>1186022</v>
      </c>
      <c r="C33" s="868">
        <f>C32</f>
        <v>1186022</v>
      </c>
      <c r="D33" s="868"/>
      <c r="E33" s="868">
        <f t="shared" si="9"/>
        <v>1186022</v>
      </c>
      <c r="F33" s="868"/>
      <c r="G33" s="868"/>
      <c r="H33" s="868"/>
      <c r="I33" s="868"/>
      <c r="J33" s="868"/>
      <c r="K33" s="868"/>
      <c r="L33" s="868"/>
      <c r="M33" s="868"/>
      <c r="N33" s="868"/>
      <c r="O33" s="868"/>
      <c r="P33" s="868"/>
      <c r="Q33" s="868"/>
      <c r="R33" s="416">
        <f t="shared" si="10"/>
        <v>1186022</v>
      </c>
      <c r="S33" s="868">
        <f t="shared" si="11"/>
        <v>1186022</v>
      </c>
      <c r="T33" s="868"/>
      <c r="U33" s="1209"/>
    </row>
    <row r="34" spans="1:21" s="105" customFormat="1">
      <c r="A34" s="195" t="s">
        <v>1807</v>
      </c>
      <c r="B34" s="245">
        <f t="shared" si="8"/>
        <v>0</v>
      </c>
      <c r="C34" s="868"/>
      <c r="D34" s="868"/>
      <c r="E34" s="868">
        <f t="shared" si="9"/>
        <v>0</v>
      </c>
      <c r="F34" s="868"/>
      <c r="G34" s="868"/>
      <c r="H34" s="868"/>
      <c r="I34" s="868"/>
      <c r="J34" s="868"/>
      <c r="K34" s="868"/>
      <c r="L34" s="868"/>
      <c r="M34" s="868"/>
      <c r="N34" s="868"/>
      <c r="O34" s="868"/>
      <c r="P34" s="868"/>
      <c r="Q34" s="868"/>
      <c r="R34" s="416">
        <f t="shared" si="10"/>
        <v>0</v>
      </c>
      <c r="S34" s="868">
        <f t="shared" si="11"/>
        <v>0</v>
      </c>
      <c r="T34" s="868"/>
      <c r="U34" s="1209"/>
    </row>
    <row r="35" spans="1:21" s="105" customFormat="1">
      <c r="A35" s="195" t="s">
        <v>1808</v>
      </c>
      <c r="B35" s="245">
        <f t="shared" si="8"/>
        <v>839813</v>
      </c>
      <c r="C35" s="868">
        <f>ROUND('[2]4%main spreadsheet'!$BW$40+'[2]4%main spreadsheet'!$BW$38,0)</f>
        <v>839813</v>
      </c>
      <c r="D35" s="868"/>
      <c r="E35" s="868">
        <f t="shared" si="9"/>
        <v>839813</v>
      </c>
      <c r="F35" s="868"/>
      <c r="G35" s="868"/>
      <c r="H35" s="868"/>
      <c r="I35" s="868"/>
      <c r="J35" s="868"/>
      <c r="K35" s="868"/>
      <c r="L35" s="868"/>
      <c r="M35" s="868"/>
      <c r="N35" s="868"/>
      <c r="O35" s="868"/>
      <c r="P35" s="868"/>
      <c r="Q35" s="868"/>
      <c r="R35" s="416">
        <f t="shared" si="10"/>
        <v>839813</v>
      </c>
      <c r="S35" s="868">
        <f t="shared" si="11"/>
        <v>839813</v>
      </c>
      <c r="T35" s="868"/>
      <c r="U35" s="1209"/>
    </row>
    <row r="36" spans="1:21" s="105" customFormat="1">
      <c r="A36" s="195" t="s">
        <v>1809</v>
      </c>
      <c r="B36" s="245">
        <f t="shared" si="8"/>
        <v>274135</v>
      </c>
      <c r="C36" s="868">
        <f>ROUND('[2]4%main spreadsheet'!$BW$52,0)</f>
        <v>274135</v>
      </c>
      <c r="D36" s="868"/>
      <c r="E36" s="868">
        <f t="shared" si="9"/>
        <v>274135</v>
      </c>
      <c r="F36" s="868"/>
      <c r="G36" s="868"/>
      <c r="H36" s="868"/>
      <c r="I36" s="868"/>
      <c r="J36" s="868"/>
      <c r="K36" s="868"/>
      <c r="L36" s="868"/>
      <c r="M36" s="868"/>
      <c r="N36" s="868"/>
      <c r="O36" s="868"/>
      <c r="P36" s="868"/>
      <c r="Q36" s="868"/>
      <c r="R36" s="416">
        <f t="shared" si="10"/>
        <v>274135</v>
      </c>
      <c r="S36" s="868">
        <f t="shared" si="11"/>
        <v>274135</v>
      </c>
      <c r="T36" s="868"/>
      <c r="U36" s="1209"/>
    </row>
    <row r="37" spans="1:21" s="105" customFormat="1">
      <c r="A37" s="1032" t="s">
        <v>1810</v>
      </c>
      <c r="B37" s="245">
        <f t="shared" si="8"/>
        <v>0</v>
      </c>
      <c r="C37" s="868"/>
      <c r="D37" s="868"/>
      <c r="E37" s="868">
        <f t="shared" si="9"/>
        <v>0</v>
      </c>
      <c r="F37" s="868"/>
      <c r="G37" s="868"/>
      <c r="H37" s="868"/>
      <c r="I37" s="868"/>
      <c r="J37" s="868"/>
      <c r="K37" s="868"/>
      <c r="L37" s="868"/>
      <c r="M37" s="868"/>
      <c r="N37" s="868"/>
      <c r="O37" s="868"/>
      <c r="P37" s="868"/>
      <c r="Q37" s="868"/>
      <c r="R37" s="416">
        <f t="shared" si="10"/>
        <v>0</v>
      </c>
      <c r="S37" s="868">
        <f t="shared" si="11"/>
        <v>0</v>
      </c>
      <c r="T37" s="868"/>
      <c r="U37" s="1209"/>
    </row>
    <row r="38" spans="1:21" s="105" customFormat="1">
      <c r="A38" s="106" t="s">
        <v>1814</v>
      </c>
      <c r="B38" s="245">
        <f t="shared" si="8"/>
        <v>52931687</v>
      </c>
      <c r="C38" s="245">
        <f>SUM(C29:C37)</f>
        <v>52931687</v>
      </c>
      <c r="D38" s="245">
        <f t="shared" ref="D38:Q38" si="12">SUM(D29:D37)</f>
        <v>0</v>
      </c>
      <c r="E38" s="245">
        <f t="shared" si="12"/>
        <v>21498052</v>
      </c>
      <c r="F38" s="245">
        <f t="shared" si="12"/>
        <v>12420000</v>
      </c>
      <c r="G38" s="245">
        <f t="shared" si="12"/>
        <v>9832515</v>
      </c>
      <c r="H38" s="245">
        <f t="shared" si="12"/>
        <v>9181020</v>
      </c>
      <c r="I38" s="245">
        <f t="shared" si="12"/>
        <v>0</v>
      </c>
      <c r="J38" s="245">
        <f t="shared" si="12"/>
        <v>0</v>
      </c>
      <c r="K38" s="245">
        <f t="shared" si="12"/>
        <v>100</v>
      </c>
      <c r="L38" s="245">
        <f t="shared" si="12"/>
        <v>0</v>
      </c>
      <c r="M38" s="245">
        <f t="shared" si="12"/>
        <v>0</v>
      </c>
      <c r="N38" s="245">
        <f t="shared" si="12"/>
        <v>0</v>
      </c>
      <c r="O38" s="245">
        <f t="shared" si="12"/>
        <v>0</v>
      </c>
      <c r="P38" s="245">
        <f t="shared" si="12"/>
        <v>0</v>
      </c>
      <c r="Q38" s="245">
        <f t="shared" si="12"/>
        <v>0</v>
      </c>
      <c r="R38" s="245">
        <f>SUM(R29:R37)</f>
        <v>52931687</v>
      </c>
      <c r="S38" s="107">
        <f>SUM(S29:S37)</f>
        <v>52931687</v>
      </c>
      <c r="T38" s="107">
        <f>SUM(T29:T37)</f>
        <v>0</v>
      </c>
      <c r="U38" s="1209"/>
    </row>
    <row r="39" spans="1:21" s="105" customFormat="1">
      <c r="A39" s="104" t="s">
        <v>1815</v>
      </c>
      <c r="B39" s="1208"/>
      <c r="C39" s="1208"/>
      <c r="D39" s="1208"/>
      <c r="E39" s="246"/>
      <c r="F39" s="246"/>
      <c r="G39" s="246"/>
      <c r="H39" s="246"/>
      <c r="I39" s="246"/>
      <c r="J39" s="246"/>
      <c r="K39" s="246"/>
      <c r="L39" s="246"/>
      <c r="M39" s="246"/>
      <c r="N39" s="246"/>
      <c r="O39" s="246"/>
      <c r="P39" s="246"/>
      <c r="Q39" s="246"/>
      <c r="R39" s="246"/>
      <c r="S39" s="1208"/>
      <c r="T39" s="1208"/>
      <c r="U39" s="1209"/>
    </row>
    <row r="40" spans="1:21" s="105" customFormat="1">
      <c r="A40" s="195" t="s">
        <v>1816</v>
      </c>
      <c r="B40" s="245">
        <f>SUM(C40+D40)</f>
        <v>1462459</v>
      </c>
      <c r="C40" s="868">
        <f>ROUND('[2]4%main spreadsheet'!$BW$50,0)</f>
        <v>1462459</v>
      </c>
      <c r="D40" s="868"/>
      <c r="E40" s="868">
        <f t="shared" ref="E40:E41" si="13">B40-SUM(F40:Q40)</f>
        <v>1462459</v>
      </c>
      <c r="F40" s="868"/>
      <c r="G40" s="868"/>
      <c r="H40" s="868"/>
      <c r="I40" s="868"/>
      <c r="J40" s="868"/>
      <c r="K40" s="868"/>
      <c r="L40" s="868"/>
      <c r="M40" s="868"/>
      <c r="N40" s="868"/>
      <c r="O40" s="868"/>
      <c r="P40" s="868"/>
      <c r="Q40" s="868"/>
      <c r="R40" s="416">
        <f>SUM(E40:Q40)</f>
        <v>1462459</v>
      </c>
      <c r="S40" s="868">
        <f>R40</f>
        <v>1462459</v>
      </c>
      <c r="T40" s="868"/>
      <c r="U40" s="1209"/>
    </row>
    <row r="41" spans="1:21" s="105" customFormat="1">
      <c r="A41" s="195" t="s">
        <v>1817</v>
      </c>
      <c r="B41" s="245">
        <f>SUM(C41+D41)</f>
        <v>0</v>
      </c>
      <c r="C41" s="868"/>
      <c r="D41" s="868"/>
      <c r="E41" s="868">
        <f t="shared" si="13"/>
        <v>0</v>
      </c>
      <c r="F41" s="868"/>
      <c r="G41" s="868"/>
      <c r="H41" s="868"/>
      <c r="I41" s="868"/>
      <c r="J41" s="868"/>
      <c r="K41" s="868"/>
      <c r="L41" s="868"/>
      <c r="M41" s="868"/>
      <c r="N41" s="868"/>
      <c r="O41" s="868"/>
      <c r="P41" s="868"/>
      <c r="Q41" s="868"/>
      <c r="R41" s="416">
        <f>SUM(E41:Q41)</f>
        <v>0</v>
      </c>
      <c r="S41" s="868">
        <f>R41</f>
        <v>0</v>
      </c>
      <c r="T41" s="868"/>
      <c r="U41" s="1209"/>
    </row>
    <row r="42" spans="1:21" s="105" customFormat="1">
      <c r="A42" s="106" t="s">
        <v>1818</v>
      </c>
      <c r="B42" s="245">
        <f>SUM(C42:D42)</f>
        <v>1462459</v>
      </c>
      <c r="C42" s="245">
        <f>SUM(C39:C41)</f>
        <v>1462459</v>
      </c>
      <c r="D42" s="245">
        <f>SUM(D39:D41)</f>
        <v>0</v>
      </c>
      <c r="E42" s="245">
        <f t="shared" ref="E42:T42" si="14">SUM(E40:E41)</f>
        <v>1462459</v>
      </c>
      <c r="F42" s="245">
        <f t="shared" si="14"/>
        <v>0</v>
      </c>
      <c r="G42" s="245">
        <f t="shared" si="14"/>
        <v>0</v>
      </c>
      <c r="H42" s="245">
        <f t="shared" si="14"/>
        <v>0</v>
      </c>
      <c r="I42" s="245">
        <f t="shared" si="14"/>
        <v>0</v>
      </c>
      <c r="J42" s="245">
        <f t="shared" si="14"/>
        <v>0</v>
      </c>
      <c r="K42" s="245">
        <f t="shared" si="14"/>
        <v>0</v>
      </c>
      <c r="L42" s="245">
        <f t="shared" si="14"/>
        <v>0</v>
      </c>
      <c r="M42" s="245">
        <f t="shared" si="14"/>
        <v>0</v>
      </c>
      <c r="N42" s="245">
        <f t="shared" si="14"/>
        <v>0</v>
      </c>
      <c r="O42" s="245">
        <f t="shared" si="14"/>
        <v>0</v>
      </c>
      <c r="P42" s="245">
        <f t="shared" si="14"/>
        <v>0</v>
      </c>
      <c r="Q42" s="245">
        <f t="shared" si="14"/>
        <v>0</v>
      </c>
      <c r="R42" s="245">
        <f>SUM(R40:R41)</f>
        <v>1462459</v>
      </c>
      <c r="S42" s="107">
        <f t="shared" si="14"/>
        <v>1462459</v>
      </c>
      <c r="T42" s="107">
        <f t="shared" si="14"/>
        <v>0</v>
      </c>
      <c r="U42" s="1209"/>
    </row>
    <row r="43" spans="1:21" s="105" customFormat="1">
      <c r="A43" s="106" t="s">
        <v>1819</v>
      </c>
      <c r="B43" s="245">
        <f>SUM(C43:D43)</f>
        <v>340872</v>
      </c>
      <c r="C43" s="868">
        <f>ROUND('[2]4%main spreadsheet'!$BW$51,0)</f>
        <v>340872</v>
      </c>
      <c r="D43" s="868"/>
      <c r="E43" s="868">
        <f t="shared" ref="E43" si="15">B43-SUM(F43:Q43)</f>
        <v>340872</v>
      </c>
      <c r="F43" s="868"/>
      <c r="G43" s="868"/>
      <c r="H43" s="868"/>
      <c r="I43" s="868"/>
      <c r="J43" s="868"/>
      <c r="K43" s="868"/>
      <c r="L43" s="868"/>
      <c r="M43" s="868"/>
      <c r="N43" s="868"/>
      <c r="O43" s="868"/>
      <c r="P43" s="868"/>
      <c r="Q43" s="868"/>
      <c r="R43" s="416">
        <f>SUM(E43:Q43)</f>
        <v>340872</v>
      </c>
      <c r="S43" s="868">
        <f>R43</f>
        <v>340872</v>
      </c>
      <c r="T43" s="868"/>
      <c r="U43" s="1209"/>
    </row>
    <row r="44" spans="1:21" s="105" customFormat="1">
      <c r="A44" s="104" t="s">
        <v>1820</v>
      </c>
      <c r="B44" s="1208"/>
      <c r="C44" s="1208"/>
      <c r="D44" s="1208"/>
      <c r="E44" s="246"/>
      <c r="F44" s="246"/>
      <c r="G44" s="246"/>
      <c r="H44" s="246"/>
      <c r="I44" s="246"/>
      <c r="J44" s="246"/>
      <c r="K44" s="246"/>
      <c r="L44" s="246"/>
      <c r="M44" s="246"/>
      <c r="N44" s="246"/>
      <c r="O44" s="246"/>
      <c r="P44" s="246"/>
      <c r="Q44" s="246"/>
      <c r="R44" s="246"/>
      <c r="S44" s="1208"/>
      <c r="T44" s="1208"/>
      <c r="U44" s="1209"/>
    </row>
    <row r="45" spans="1:21" s="105" customFormat="1">
      <c r="A45" s="195" t="s">
        <v>1821</v>
      </c>
      <c r="B45" s="245">
        <f t="shared" ref="B45:B53" si="16">SUM(C45+D45)</f>
        <v>5450762</v>
      </c>
      <c r="C45" s="868">
        <f>ROUND('[2]4%main spreadsheet'!$BW$63+'[2]4%main spreadsheet'!$BW$64,0)</f>
        <v>5450762</v>
      </c>
      <c r="D45" s="868"/>
      <c r="E45" s="868">
        <f t="shared" ref="E45:E53" si="17">B45-SUM(F45:Q45)</f>
        <v>5450762</v>
      </c>
      <c r="F45" s="868"/>
      <c r="G45" s="868"/>
      <c r="H45" s="868"/>
      <c r="I45" s="868"/>
      <c r="J45" s="868"/>
      <c r="K45" s="868"/>
      <c r="L45" s="868"/>
      <c r="M45" s="868"/>
      <c r="N45" s="868"/>
      <c r="O45" s="868"/>
      <c r="P45" s="868"/>
      <c r="Q45" s="868"/>
      <c r="R45" s="416">
        <f t="shared" ref="R45:R53" si="18">SUM(E45:Q45)</f>
        <v>5450762</v>
      </c>
      <c r="S45" s="868">
        <f>ROUND('[2]4%main spreadsheet'!$BY$63,0)</f>
        <v>3385353</v>
      </c>
      <c r="T45" s="868"/>
      <c r="U45" s="1209"/>
    </row>
    <row r="46" spans="1:21" s="105" customFormat="1">
      <c r="A46" s="195" t="s">
        <v>1822</v>
      </c>
      <c r="B46" s="245">
        <f t="shared" si="16"/>
        <v>478963</v>
      </c>
      <c r="C46" s="868">
        <f>ROUND('[2]4%main spreadsheet'!$BW$60,0)</f>
        <v>478963</v>
      </c>
      <c r="D46" s="868"/>
      <c r="E46" s="868">
        <f t="shared" si="17"/>
        <v>478963</v>
      </c>
      <c r="F46" s="868"/>
      <c r="G46" s="868"/>
      <c r="H46" s="868"/>
      <c r="I46" s="868"/>
      <c r="J46" s="868"/>
      <c r="K46" s="868"/>
      <c r="L46" s="868"/>
      <c r="M46" s="868"/>
      <c r="N46" s="868"/>
      <c r="O46" s="868"/>
      <c r="P46" s="868"/>
      <c r="Q46" s="868"/>
      <c r="R46" s="416">
        <f t="shared" si="18"/>
        <v>478963</v>
      </c>
      <c r="S46" s="868">
        <f>ROUND('[2]4%main spreadsheet'!$BY$60,0)</f>
        <v>45031</v>
      </c>
      <c r="T46" s="868"/>
      <c r="U46" s="1209"/>
    </row>
    <row r="47" spans="1:21" s="105" customFormat="1">
      <c r="A47" s="1211" t="s">
        <v>1823</v>
      </c>
      <c r="B47" s="245">
        <f t="shared" si="16"/>
        <v>0</v>
      </c>
      <c r="C47" s="868"/>
      <c r="D47" s="868"/>
      <c r="E47" s="868">
        <f t="shared" si="17"/>
        <v>0</v>
      </c>
      <c r="F47" s="868"/>
      <c r="G47" s="868"/>
      <c r="H47" s="868"/>
      <c r="I47" s="868"/>
      <c r="J47" s="868"/>
      <c r="K47" s="868"/>
      <c r="L47" s="868"/>
      <c r="M47" s="868"/>
      <c r="N47" s="868"/>
      <c r="O47" s="868"/>
      <c r="P47" s="868"/>
      <c r="Q47" s="868"/>
      <c r="R47" s="416">
        <f t="shared" si="18"/>
        <v>0</v>
      </c>
      <c r="S47" s="868"/>
      <c r="T47" s="868"/>
      <c r="U47" s="1209"/>
    </row>
    <row r="48" spans="1:21" s="105" customFormat="1">
      <c r="A48" s="195" t="s">
        <v>1824</v>
      </c>
      <c r="B48" s="245">
        <f t="shared" si="16"/>
        <v>0</v>
      </c>
      <c r="C48" s="868"/>
      <c r="D48" s="868"/>
      <c r="E48" s="868">
        <f t="shared" si="17"/>
        <v>0</v>
      </c>
      <c r="F48" s="868"/>
      <c r="G48" s="868"/>
      <c r="H48" s="868"/>
      <c r="I48" s="868"/>
      <c r="J48" s="868"/>
      <c r="K48" s="868"/>
      <c r="L48" s="868"/>
      <c r="M48" s="868"/>
      <c r="N48" s="868"/>
      <c r="O48" s="868"/>
      <c r="P48" s="868"/>
      <c r="Q48" s="868"/>
      <c r="R48" s="416">
        <f t="shared" si="18"/>
        <v>0</v>
      </c>
      <c r="S48" s="868"/>
      <c r="T48" s="868"/>
      <c r="U48" s="1209"/>
    </row>
    <row r="49" spans="1:21" s="105" customFormat="1">
      <c r="A49" s="195" t="s">
        <v>1825</v>
      </c>
      <c r="B49" s="245">
        <f t="shared" si="16"/>
        <v>393764</v>
      </c>
      <c r="C49" s="868">
        <f>ROUND('[2]4%main spreadsheet'!$BW$67,0)</f>
        <v>393764</v>
      </c>
      <c r="D49" s="868"/>
      <c r="E49" s="868">
        <f t="shared" si="17"/>
        <v>393764</v>
      </c>
      <c r="F49" s="868"/>
      <c r="G49" s="868"/>
      <c r="H49" s="868"/>
      <c r="I49" s="868"/>
      <c r="J49" s="868"/>
      <c r="K49" s="868"/>
      <c r="L49" s="868"/>
      <c r="M49" s="868"/>
      <c r="N49" s="868"/>
      <c r="O49" s="868"/>
      <c r="P49" s="868"/>
      <c r="Q49" s="868"/>
      <c r="R49" s="416">
        <f t="shared" si="18"/>
        <v>393764</v>
      </c>
      <c r="S49" s="868">
        <f>ROUND('[2]4%main spreadsheet'!$BY$67,0)</f>
        <v>37021</v>
      </c>
      <c r="T49" s="868"/>
      <c r="U49" s="1209"/>
    </row>
    <row r="50" spans="1:21" s="105" customFormat="1">
      <c r="A50" s="195" t="s">
        <v>1826</v>
      </c>
      <c r="B50" s="245">
        <f t="shared" si="16"/>
        <v>145000</v>
      </c>
      <c r="C50" s="868">
        <f>'[2]4%main spreadsheet'!$BW$75</f>
        <v>145000</v>
      </c>
      <c r="D50" s="868"/>
      <c r="E50" s="868">
        <f t="shared" si="17"/>
        <v>145000</v>
      </c>
      <c r="F50" s="868"/>
      <c r="G50" s="868"/>
      <c r="H50" s="868"/>
      <c r="I50" s="868"/>
      <c r="J50" s="868"/>
      <c r="K50" s="868"/>
      <c r="L50" s="868"/>
      <c r="M50" s="868"/>
      <c r="N50" s="868"/>
      <c r="O50" s="868"/>
      <c r="P50" s="868"/>
      <c r="Q50" s="868"/>
      <c r="R50" s="416">
        <f t="shared" si="18"/>
        <v>145000</v>
      </c>
      <c r="S50" s="868">
        <f>ROUND('[2]4%main spreadsheet'!$BY$75,0)</f>
        <v>13632</v>
      </c>
      <c r="T50" s="868"/>
      <c r="U50" s="1209"/>
    </row>
    <row r="51" spans="1:21" s="105" customFormat="1">
      <c r="A51" s="195" t="s">
        <v>1827</v>
      </c>
      <c r="B51" s="245">
        <f t="shared" si="16"/>
        <v>180000</v>
      </c>
      <c r="C51" s="868">
        <f>ROUND('[2]4%main spreadsheet'!$BW$56,0)</f>
        <v>180000</v>
      </c>
      <c r="D51" s="868"/>
      <c r="E51" s="868">
        <f t="shared" si="17"/>
        <v>180000</v>
      </c>
      <c r="F51" s="868"/>
      <c r="G51" s="868"/>
      <c r="H51" s="868"/>
      <c r="I51" s="868"/>
      <c r="J51" s="868"/>
      <c r="K51" s="868"/>
      <c r="L51" s="868"/>
      <c r="M51" s="868"/>
      <c r="N51" s="868"/>
      <c r="O51" s="868"/>
      <c r="P51" s="868"/>
      <c r="Q51" s="868"/>
      <c r="R51" s="416">
        <f t="shared" si="18"/>
        <v>180000</v>
      </c>
      <c r="S51" s="868">
        <f>R51</f>
        <v>180000</v>
      </c>
      <c r="T51" s="868"/>
      <c r="U51" s="1209"/>
    </row>
    <row r="52" spans="1:21" s="105" customFormat="1">
      <c r="A52" s="195" t="s">
        <v>1586</v>
      </c>
      <c r="B52" s="245">
        <f t="shared" si="16"/>
        <v>1581699</v>
      </c>
      <c r="C52" s="868">
        <f>ROUND('[2]4%main spreadsheet'!$BW$55,0)</f>
        <v>1581699</v>
      </c>
      <c r="D52" s="868"/>
      <c r="E52" s="868">
        <f t="shared" si="17"/>
        <v>1581699</v>
      </c>
      <c r="F52" s="868"/>
      <c r="G52" s="868"/>
      <c r="H52" s="868"/>
      <c r="I52" s="868"/>
      <c r="J52" s="868"/>
      <c r="K52" s="868"/>
      <c r="L52" s="868"/>
      <c r="M52" s="868"/>
      <c r="N52" s="868"/>
      <c r="O52" s="868"/>
      <c r="P52" s="868"/>
      <c r="Q52" s="868"/>
      <c r="R52" s="416">
        <f t="shared" si="18"/>
        <v>1581699</v>
      </c>
      <c r="S52" s="868">
        <f>R52</f>
        <v>1581699</v>
      </c>
      <c r="T52" s="868"/>
      <c r="U52" s="1209"/>
    </row>
    <row r="53" spans="1:21" s="105" customFormat="1">
      <c r="A53" s="1032" t="s">
        <v>1828</v>
      </c>
      <c r="B53" s="245">
        <f t="shared" si="16"/>
        <v>467044</v>
      </c>
      <c r="C53" s="868">
        <f>ROUND('[2]4%main spreadsheet'!$BW$65,0)</f>
        <v>467044</v>
      </c>
      <c r="D53" s="868"/>
      <c r="E53" s="868">
        <f t="shared" si="17"/>
        <v>0</v>
      </c>
      <c r="F53" s="868"/>
      <c r="G53" s="868"/>
      <c r="H53" s="868"/>
      <c r="I53" s="868"/>
      <c r="J53" s="868">
        <f>ROUND(Application!AO639,0)</f>
        <v>467044</v>
      </c>
      <c r="K53" s="868"/>
      <c r="L53" s="868"/>
      <c r="M53" s="868"/>
      <c r="N53" s="868"/>
      <c r="O53" s="868"/>
      <c r="P53" s="868"/>
      <c r="Q53" s="868"/>
      <c r="R53" s="416">
        <f t="shared" si="18"/>
        <v>467044</v>
      </c>
      <c r="S53" s="868">
        <f>ROUND('[2]4%main spreadsheet'!$BX$65-1,0)</f>
        <v>342498</v>
      </c>
      <c r="T53" s="868"/>
      <c r="U53" s="1209"/>
    </row>
    <row r="54" spans="1:21" s="109" customFormat="1">
      <c r="A54" s="106" t="s">
        <v>1829</v>
      </c>
      <c r="B54" s="107">
        <f>SUM(C54:D54)</f>
        <v>8697232</v>
      </c>
      <c r="C54" s="107">
        <f t="shared" ref="C54:T54" si="19">SUM(C45:C53)</f>
        <v>8697232</v>
      </c>
      <c r="D54" s="107">
        <f t="shared" si="19"/>
        <v>0</v>
      </c>
      <c r="E54" s="107">
        <f t="shared" si="19"/>
        <v>8230188</v>
      </c>
      <c r="F54" s="107">
        <f t="shared" si="19"/>
        <v>0</v>
      </c>
      <c r="G54" s="107">
        <f t="shared" si="19"/>
        <v>0</v>
      </c>
      <c r="H54" s="107">
        <f t="shared" si="19"/>
        <v>0</v>
      </c>
      <c r="I54" s="107">
        <f t="shared" si="19"/>
        <v>0</v>
      </c>
      <c r="J54" s="107">
        <f t="shared" si="19"/>
        <v>467044</v>
      </c>
      <c r="K54" s="107">
        <f t="shared" si="19"/>
        <v>0</v>
      </c>
      <c r="L54" s="107">
        <f t="shared" si="19"/>
        <v>0</v>
      </c>
      <c r="M54" s="107">
        <f t="shared" si="19"/>
        <v>0</v>
      </c>
      <c r="N54" s="107">
        <f t="shared" si="19"/>
        <v>0</v>
      </c>
      <c r="O54" s="107">
        <f t="shared" si="19"/>
        <v>0</v>
      </c>
      <c r="P54" s="107">
        <f t="shared" si="19"/>
        <v>0</v>
      </c>
      <c r="Q54" s="107">
        <f t="shared" si="19"/>
        <v>0</v>
      </c>
      <c r="R54" s="245">
        <f t="shared" si="19"/>
        <v>8697232</v>
      </c>
      <c r="S54" s="107">
        <f t="shared" si="19"/>
        <v>5585234</v>
      </c>
      <c r="T54" s="107">
        <f t="shared" si="19"/>
        <v>0</v>
      </c>
      <c r="U54" s="108"/>
    </row>
    <row r="55" spans="1:21" s="105" customFormat="1">
      <c r="A55" s="104" t="s">
        <v>1375</v>
      </c>
      <c r="B55" s="1208"/>
      <c r="C55" s="1208"/>
      <c r="D55" s="1208"/>
      <c r="E55" s="246"/>
      <c r="F55" s="246"/>
      <c r="G55" s="246"/>
      <c r="H55" s="246"/>
      <c r="I55" s="246"/>
      <c r="J55" s="246"/>
      <c r="K55" s="246"/>
      <c r="L55" s="246"/>
      <c r="M55" s="246"/>
      <c r="N55" s="246"/>
      <c r="O55" s="246"/>
      <c r="P55" s="246"/>
      <c r="Q55" s="246"/>
      <c r="R55" s="246"/>
      <c r="S55" s="1208"/>
      <c r="T55" s="1208"/>
      <c r="U55" s="1209"/>
    </row>
    <row r="56" spans="1:21" s="105" customFormat="1">
      <c r="A56" s="195" t="s">
        <v>1830</v>
      </c>
      <c r="B56" s="245">
        <f t="shared" ref="B56:B61" si="20">SUM(C56+D56)</f>
        <v>124200</v>
      </c>
      <c r="C56" s="868">
        <f>ROUND('[2]4%main spreadsheet'!$BW$61,0)</f>
        <v>124200</v>
      </c>
      <c r="D56" s="868"/>
      <c r="E56" s="868">
        <f t="shared" ref="E56:E61" si="21">B56-SUM(F56:Q56)</f>
        <v>124200</v>
      </c>
      <c r="F56" s="868"/>
      <c r="G56" s="868"/>
      <c r="H56" s="868"/>
      <c r="I56" s="868"/>
      <c r="J56" s="868"/>
      <c r="K56" s="868"/>
      <c r="L56" s="868"/>
      <c r="M56" s="868"/>
      <c r="N56" s="868"/>
      <c r="O56" s="868"/>
      <c r="P56" s="868"/>
      <c r="Q56" s="868"/>
      <c r="R56" s="416">
        <f t="shared" ref="R56:R61" si="22">SUM(E56:Q56)</f>
        <v>124200</v>
      </c>
      <c r="S56" s="1210"/>
      <c r="T56" s="1210"/>
      <c r="U56" s="1209"/>
    </row>
    <row r="57" spans="1:21" s="130" customFormat="1">
      <c r="A57" s="1211" t="s">
        <v>1823</v>
      </c>
      <c r="B57" s="1212">
        <f t="shared" si="20"/>
        <v>0</v>
      </c>
      <c r="C57" s="1213"/>
      <c r="D57" s="1213"/>
      <c r="E57" s="1213">
        <f t="shared" si="21"/>
        <v>0</v>
      </c>
      <c r="F57" s="1213"/>
      <c r="G57" s="1213"/>
      <c r="H57" s="1213"/>
      <c r="I57" s="1213"/>
      <c r="J57" s="1213"/>
      <c r="K57" s="1213"/>
      <c r="L57" s="1213"/>
      <c r="M57" s="1213"/>
      <c r="N57" s="1213"/>
      <c r="O57" s="1213"/>
      <c r="P57" s="1213"/>
      <c r="Q57" s="1213"/>
      <c r="R57" s="416">
        <f t="shared" si="22"/>
        <v>0</v>
      </c>
      <c r="S57" s="1214"/>
      <c r="T57" s="1214"/>
      <c r="U57" s="1215"/>
    </row>
    <row r="58" spans="1:21" s="105" customFormat="1">
      <c r="A58" s="195" t="s">
        <v>1826</v>
      </c>
      <c r="B58" s="245">
        <f t="shared" si="20"/>
        <v>120000</v>
      </c>
      <c r="C58" s="868">
        <f>'[2]4%main spreadsheet'!$BW$76</f>
        <v>120000</v>
      </c>
      <c r="D58" s="868"/>
      <c r="E58" s="868">
        <f t="shared" si="21"/>
        <v>120000</v>
      </c>
      <c r="F58" s="868"/>
      <c r="G58" s="868"/>
      <c r="H58" s="868"/>
      <c r="I58" s="868"/>
      <c r="J58" s="868"/>
      <c r="K58" s="868"/>
      <c r="L58" s="868"/>
      <c r="M58" s="868"/>
      <c r="N58" s="868"/>
      <c r="O58" s="868"/>
      <c r="P58" s="868"/>
      <c r="Q58" s="868"/>
      <c r="R58" s="416">
        <f t="shared" si="22"/>
        <v>120000</v>
      </c>
      <c r="S58" s="1210"/>
      <c r="T58" s="1210"/>
      <c r="U58" s="1209"/>
    </row>
    <row r="59" spans="1:21" s="105" customFormat="1">
      <c r="A59" s="195" t="s">
        <v>1827</v>
      </c>
      <c r="B59" s="245">
        <f t="shared" si="20"/>
        <v>0</v>
      </c>
      <c r="C59" s="868"/>
      <c r="D59" s="868"/>
      <c r="E59" s="868">
        <f t="shared" si="21"/>
        <v>0</v>
      </c>
      <c r="F59" s="868"/>
      <c r="G59" s="868"/>
      <c r="H59" s="868"/>
      <c r="I59" s="868"/>
      <c r="J59" s="868"/>
      <c r="K59" s="868"/>
      <c r="L59" s="868"/>
      <c r="M59" s="868"/>
      <c r="N59" s="868"/>
      <c r="O59" s="868"/>
      <c r="P59" s="868"/>
      <c r="Q59" s="868"/>
      <c r="R59" s="416">
        <f t="shared" si="22"/>
        <v>0</v>
      </c>
      <c r="S59" s="1210"/>
      <c r="T59" s="1210"/>
      <c r="U59" s="1209"/>
    </row>
    <row r="60" spans="1:21" s="105" customFormat="1">
      <c r="A60" s="195" t="s">
        <v>1586</v>
      </c>
      <c r="B60" s="245">
        <f t="shared" si="20"/>
        <v>0</v>
      </c>
      <c r="C60" s="868"/>
      <c r="D60" s="868"/>
      <c r="E60" s="868">
        <f t="shared" si="21"/>
        <v>0</v>
      </c>
      <c r="F60" s="868"/>
      <c r="G60" s="868"/>
      <c r="H60" s="868"/>
      <c r="I60" s="868"/>
      <c r="J60" s="868"/>
      <c r="K60" s="868"/>
      <c r="L60" s="868"/>
      <c r="M60" s="868"/>
      <c r="N60" s="868"/>
      <c r="O60" s="868"/>
      <c r="P60" s="868"/>
      <c r="Q60" s="868"/>
      <c r="R60" s="416">
        <f t="shared" si="22"/>
        <v>0</v>
      </c>
      <c r="S60" s="1210"/>
      <c r="T60" s="1210"/>
      <c r="U60" s="1209"/>
    </row>
    <row r="61" spans="1:21" s="105" customFormat="1">
      <c r="A61" s="1032" t="s">
        <v>1831</v>
      </c>
      <c r="B61" s="245">
        <f t="shared" si="20"/>
        <v>207000</v>
      </c>
      <c r="C61" s="868">
        <f>ROUND('[2]4%main spreadsheet'!$BW$62+'[2]4%main spreadsheet'!$BW$73,0)</f>
        <v>207000</v>
      </c>
      <c r="D61" s="868"/>
      <c r="E61" s="868">
        <f t="shared" si="21"/>
        <v>207000</v>
      </c>
      <c r="F61" s="868"/>
      <c r="G61" s="868"/>
      <c r="H61" s="868"/>
      <c r="I61" s="868"/>
      <c r="J61" s="868"/>
      <c r="K61" s="868"/>
      <c r="L61" s="868"/>
      <c r="M61" s="868"/>
      <c r="N61" s="868"/>
      <c r="O61" s="868"/>
      <c r="P61" s="868"/>
      <c r="Q61" s="868"/>
      <c r="R61" s="416">
        <f t="shared" si="22"/>
        <v>207000</v>
      </c>
      <c r="S61" s="1210"/>
      <c r="T61" s="1210"/>
      <c r="U61" s="1209"/>
    </row>
    <row r="62" spans="1:21" s="105" customFormat="1" ht="13.7" customHeight="1">
      <c r="A62" s="106" t="s">
        <v>1832</v>
      </c>
      <c r="B62" s="245">
        <f>SUM(C62:D62)</f>
        <v>451200</v>
      </c>
      <c r="C62" s="245">
        <f t="shared" ref="C62:R62" si="23">SUM(C56:C61)</f>
        <v>451200</v>
      </c>
      <c r="D62" s="245">
        <f t="shared" si="23"/>
        <v>0</v>
      </c>
      <c r="E62" s="245">
        <f t="shared" si="23"/>
        <v>451200</v>
      </c>
      <c r="F62" s="245">
        <f t="shared" si="23"/>
        <v>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451200</v>
      </c>
      <c r="S62" s="1210"/>
      <c r="T62" s="1210"/>
      <c r="U62" s="1209"/>
    </row>
    <row r="63" spans="1:21" s="105" customFormat="1">
      <c r="A63" s="110" t="s">
        <v>1833</v>
      </c>
      <c r="B63" s="245">
        <f t="shared" ref="B63:R63" si="24">SUM(B8+B11+B13+B14+B15+B26+B27+B38+B42+B43+B54+B62)</f>
        <v>66687299</v>
      </c>
      <c r="C63" s="245">
        <f t="shared" si="24"/>
        <v>66687299</v>
      </c>
      <c r="D63" s="245">
        <f t="shared" si="24"/>
        <v>0</v>
      </c>
      <c r="E63" s="245">
        <f t="shared" si="24"/>
        <v>34786620</v>
      </c>
      <c r="F63" s="245">
        <f t="shared" si="24"/>
        <v>12420000</v>
      </c>
      <c r="G63" s="245">
        <f t="shared" si="24"/>
        <v>9832515</v>
      </c>
      <c r="H63" s="245">
        <f t="shared" si="24"/>
        <v>9181020</v>
      </c>
      <c r="I63" s="245">
        <f t="shared" si="24"/>
        <v>0</v>
      </c>
      <c r="J63" s="245">
        <f t="shared" si="24"/>
        <v>467044</v>
      </c>
      <c r="K63" s="245">
        <f t="shared" si="24"/>
        <v>100</v>
      </c>
      <c r="L63" s="245">
        <f t="shared" si="24"/>
        <v>0</v>
      </c>
      <c r="M63" s="245">
        <f t="shared" si="24"/>
        <v>0</v>
      </c>
      <c r="N63" s="245">
        <f t="shared" si="24"/>
        <v>0</v>
      </c>
      <c r="O63" s="245">
        <f t="shared" si="24"/>
        <v>0</v>
      </c>
      <c r="P63" s="245">
        <f t="shared" si="24"/>
        <v>0</v>
      </c>
      <c r="Q63" s="245">
        <f t="shared" si="24"/>
        <v>0</v>
      </c>
      <c r="R63" s="245">
        <f t="shared" si="24"/>
        <v>66687299</v>
      </c>
      <c r="S63" s="245">
        <f>SUM(S10+S13+S14+S15+S26+S27+S38+S42+S43+S54)</f>
        <v>60590252</v>
      </c>
      <c r="T63" s="245">
        <f>SUM(T11+T13+T14+T15+T26+T27+T38+T42+T43+T54)</f>
        <v>0</v>
      </c>
      <c r="U63" s="1209"/>
    </row>
    <row r="64" spans="1:21" s="105" customFormat="1" ht="24">
      <c r="A64" s="104" t="s">
        <v>1834</v>
      </c>
      <c r="B64" s="1208"/>
      <c r="C64" s="1208"/>
      <c r="D64" s="1208"/>
      <c r="E64" s="246"/>
      <c r="F64" s="246"/>
      <c r="G64" s="246"/>
      <c r="H64" s="246"/>
      <c r="I64" s="246"/>
      <c r="J64" s="246"/>
      <c r="K64" s="246"/>
      <c r="L64" s="246"/>
      <c r="M64" s="246"/>
      <c r="N64" s="246"/>
      <c r="O64" s="246"/>
      <c r="P64" s="246"/>
      <c r="Q64" s="246"/>
      <c r="R64" s="246"/>
      <c r="S64" s="1208"/>
      <c r="T64" s="1208"/>
      <c r="U64" s="1209"/>
    </row>
    <row r="65" spans="1:21" s="105" customFormat="1">
      <c r="A65" s="195" t="s">
        <v>1835</v>
      </c>
      <c r="B65" s="245">
        <f>SUM(C65+D65)</f>
        <v>225018</v>
      </c>
      <c r="C65" s="868">
        <f>ROUND('[2]4%main spreadsheet'!$BW$66,0)</f>
        <v>225018</v>
      </c>
      <c r="D65" s="868"/>
      <c r="E65" s="868">
        <f t="shared" ref="E65:E69" si="25">B65-SUM(F65:Q65)</f>
        <v>225018</v>
      </c>
      <c r="F65" s="868"/>
      <c r="G65" s="868"/>
      <c r="H65" s="868"/>
      <c r="I65" s="868"/>
      <c r="J65" s="868"/>
      <c r="K65" s="868"/>
      <c r="L65" s="868"/>
      <c r="M65" s="868"/>
      <c r="N65" s="868"/>
      <c r="O65" s="868"/>
      <c r="P65" s="868"/>
      <c r="Q65" s="868"/>
      <c r="R65" s="416">
        <f>SUM(E65:Q65)</f>
        <v>225018</v>
      </c>
      <c r="S65" s="868">
        <f>ROUND('[2]4%main spreadsheet'!$BY$66,0)</f>
        <v>21156</v>
      </c>
      <c r="T65" s="868"/>
      <c r="U65" s="1209"/>
    </row>
    <row r="66" spans="1:21" s="105" customFormat="1" ht="24" customHeight="1">
      <c r="A66" s="195" t="s">
        <v>1836</v>
      </c>
      <c r="B66" s="245">
        <f>SUM(C66+D66)</f>
        <v>0</v>
      </c>
      <c r="C66" s="868"/>
      <c r="D66" s="868"/>
      <c r="E66" s="868">
        <f t="shared" si="25"/>
        <v>0</v>
      </c>
      <c r="F66" s="868"/>
      <c r="G66" s="868"/>
      <c r="H66" s="868"/>
      <c r="I66" s="868"/>
      <c r="J66" s="868"/>
      <c r="K66" s="868"/>
      <c r="L66" s="868"/>
      <c r="M66" s="868"/>
      <c r="N66" s="868"/>
      <c r="O66" s="868"/>
      <c r="P66" s="868"/>
      <c r="Q66" s="868"/>
      <c r="R66" s="416">
        <f>SUM(E66:Q66)</f>
        <v>0</v>
      </c>
      <c r="S66" s="868"/>
      <c r="T66" s="868"/>
      <c r="U66" s="1209"/>
    </row>
    <row r="67" spans="1:21" s="105" customFormat="1" ht="24" customHeight="1">
      <c r="A67" s="195" t="s">
        <v>1837</v>
      </c>
      <c r="B67" s="245">
        <f>SUM(C67+D67)</f>
        <v>0</v>
      </c>
      <c r="C67" s="868"/>
      <c r="D67" s="868"/>
      <c r="E67" s="868">
        <f t="shared" si="25"/>
        <v>0</v>
      </c>
      <c r="F67" s="868"/>
      <c r="G67" s="868"/>
      <c r="H67" s="868"/>
      <c r="I67" s="868"/>
      <c r="J67" s="868"/>
      <c r="K67" s="868"/>
      <c r="L67" s="868"/>
      <c r="M67" s="868"/>
      <c r="N67" s="868"/>
      <c r="O67" s="868"/>
      <c r="P67" s="868"/>
      <c r="Q67" s="868"/>
      <c r="R67" s="416">
        <f>SUM(E67:Q67)</f>
        <v>0</v>
      </c>
      <c r="S67" s="868"/>
      <c r="T67" s="868"/>
      <c r="U67" s="1209"/>
    </row>
    <row r="68" spans="1:21" s="105" customFormat="1" ht="12" customHeight="1">
      <c r="A68" s="195" t="s">
        <v>1838</v>
      </c>
      <c r="B68" s="245">
        <f>SUM(C68+D68)</f>
        <v>0</v>
      </c>
      <c r="C68" s="868"/>
      <c r="D68" s="868"/>
      <c r="E68" s="868">
        <f t="shared" si="25"/>
        <v>0</v>
      </c>
      <c r="F68" s="868"/>
      <c r="G68" s="868"/>
      <c r="H68" s="868"/>
      <c r="I68" s="868"/>
      <c r="J68" s="868"/>
      <c r="K68" s="868"/>
      <c r="L68" s="868"/>
      <c r="M68" s="868"/>
      <c r="N68" s="868"/>
      <c r="O68" s="868"/>
      <c r="P68" s="868"/>
      <c r="Q68" s="868"/>
      <c r="R68" s="416">
        <f>SUM(E68:Q68)</f>
        <v>0</v>
      </c>
      <c r="S68" s="868"/>
      <c r="T68" s="868"/>
      <c r="U68" s="1209"/>
    </row>
    <row r="69" spans="1:21" s="105" customFormat="1">
      <c r="A69" s="1032" t="s">
        <v>1839</v>
      </c>
      <c r="B69" s="245">
        <f>SUM(C69+D69)</f>
        <v>90000</v>
      </c>
      <c r="C69" s="868">
        <f>'[2]4%main spreadsheet'!$BW$71</f>
        <v>90000</v>
      </c>
      <c r="D69" s="868"/>
      <c r="E69" s="868">
        <f t="shared" si="25"/>
        <v>90000</v>
      </c>
      <c r="F69" s="868"/>
      <c r="G69" s="868"/>
      <c r="H69" s="868"/>
      <c r="I69" s="868"/>
      <c r="J69" s="868"/>
      <c r="K69" s="868"/>
      <c r="L69" s="868"/>
      <c r="M69" s="868"/>
      <c r="N69" s="868"/>
      <c r="O69" s="868"/>
      <c r="P69" s="868"/>
      <c r="Q69" s="868"/>
      <c r="R69" s="416">
        <f>SUM(E69:Q69)</f>
        <v>90000</v>
      </c>
      <c r="S69" s="868">
        <f>R69</f>
        <v>90000</v>
      </c>
      <c r="T69" s="868"/>
      <c r="U69" s="1209"/>
    </row>
    <row r="70" spans="1:21" s="105" customFormat="1">
      <c r="A70" s="106" t="s">
        <v>1840</v>
      </c>
      <c r="B70" s="245">
        <f>SUM(C70:D70)</f>
        <v>315018</v>
      </c>
      <c r="C70" s="245">
        <f>SUM(C65:C69)</f>
        <v>315018</v>
      </c>
      <c r="D70" s="245">
        <f>SUM(D65:D69)</f>
        <v>0</v>
      </c>
      <c r="E70" s="245">
        <f t="shared" ref="E70:T70" si="26">SUM(E65:E69)</f>
        <v>315018</v>
      </c>
      <c r="F70" s="245">
        <f t="shared" si="26"/>
        <v>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315018</v>
      </c>
      <c r="S70" s="107">
        <f t="shared" si="26"/>
        <v>111156</v>
      </c>
      <c r="T70" s="107">
        <f t="shared" si="26"/>
        <v>0</v>
      </c>
      <c r="U70" s="1209"/>
    </row>
    <row r="71" spans="1:21" s="105" customFormat="1">
      <c r="A71" s="104" t="s">
        <v>1841</v>
      </c>
      <c r="B71" s="246"/>
      <c r="C71" s="246"/>
      <c r="D71" s="246"/>
      <c r="E71" s="246"/>
      <c r="F71" s="246"/>
      <c r="G71" s="246"/>
      <c r="H71" s="246"/>
      <c r="I71" s="246"/>
      <c r="J71" s="246"/>
      <c r="K71" s="246"/>
      <c r="L71" s="246"/>
      <c r="M71" s="246"/>
      <c r="N71" s="246"/>
      <c r="O71" s="246"/>
      <c r="P71" s="246"/>
      <c r="Q71" s="246"/>
      <c r="R71" s="246"/>
      <c r="S71" s="246"/>
      <c r="T71" s="246"/>
      <c r="U71" s="1209"/>
    </row>
    <row r="72" spans="1:21" s="105" customFormat="1">
      <c r="A72" s="195" t="s">
        <v>1842</v>
      </c>
      <c r="B72" s="245">
        <f>SUM(C72+D72)</f>
        <v>0</v>
      </c>
      <c r="C72" s="868"/>
      <c r="D72" s="868"/>
      <c r="E72" s="868">
        <f t="shared" ref="E72:E76" si="27">B72-SUM(F72:Q72)</f>
        <v>0</v>
      </c>
      <c r="F72" s="868"/>
      <c r="G72" s="868"/>
      <c r="H72" s="868"/>
      <c r="I72" s="868"/>
      <c r="J72" s="868"/>
      <c r="K72" s="868"/>
      <c r="L72" s="868"/>
      <c r="M72" s="868"/>
      <c r="N72" s="868"/>
      <c r="O72" s="868"/>
      <c r="P72" s="868"/>
      <c r="Q72" s="868"/>
      <c r="R72" s="416">
        <f>SUM(E72:Q72)</f>
        <v>0</v>
      </c>
      <c r="S72" s="1210"/>
      <c r="T72" s="1210"/>
      <c r="U72" s="1209"/>
    </row>
    <row r="73" spans="1:21" s="105" customFormat="1">
      <c r="A73" s="195" t="s">
        <v>1843</v>
      </c>
      <c r="B73" s="245">
        <f>SUM(C73+D73)</f>
        <v>0</v>
      </c>
      <c r="C73" s="868"/>
      <c r="D73" s="868"/>
      <c r="E73" s="868">
        <f t="shared" si="27"/>
        <v>0</v>
      </c>
      <c r="F73" s="868"/>
      <c r="G73" s="868"/>
      <c r="H73" s="868"/>
      <c r="I73" s="868"/>
      <c r="J73" s="868"/>
      <c r="K73" s="868"/>
      <c r="L73" s="868"/>
      <c r="M73" s="868"/>
      <c r="N73" s="868"/>
      <c r="O73" s="868"/>
      <c r="P73" s="868"/>
      <c r="Q73" s="868"/>
      <c r="R73" s="416">
        <f>SUM(E73:Q73)</f>
        <v>0</v>
      </c>
      <c r="S73" s="1210"/>
      <c r="T73" s="1210"/>
      <c r="U73" s="1209"/>
    </row>
    <row r="74" spans="1:21" s="105" customFormat="1">
      <c r="A74" s="352" t="s">
        <v>1844</v>
      </c>
      <c r="B74" s="245">
        <f>SUM(C74+D74)</f>
        <v>0</v>
      </c>
      <c r="C74" s="868"/>
      <c r="D74" s="868"/>
      <c r="E74" s="868">
        <f t="shared" si="27"/>
        <v>0</v>
      </c>
      <c r="F74" s="868"/>
      <c r="G74" s="868"/>
      <c r="H74" s="868"/>
      <c r="I74" s="868"/>
      <c r="J74" s="868"/>
      <c r="K74" s="868"/>
      <c r="L74" s="868"/>
      <c r="M74" s="868"/>
      <c r="N74" s="868"/>
      <c r="O74" s="868"/>
      <c r="P74" s="868"/>
      <c r="Q74" s="868"/>
      <c r="R74" s="416">
        <f>SUM(E74:Q74)</f>
        <v>0</v>
      </c>
      <c r="S74" s="1210"/>
      <c r="T74" s="1210"/>
      <c r="U74" s="1209"/>
    </row>
    <row r="75" spans="1:21" s="105" customFormat="1">
      <c r="A75" s="195" t="s">
        <v>1845</v>
      </c>
      <c r="B75" s="245">
        <f>SUM(C75+D75)</f>
        <v>483265</v>
      </c>
      <c r="C75" s="868">
        <f>ROUND('[2]4%main spreadsheet'!$BW$81,0)</f>
        <v>483265</v>
      </c>
      <c r="D75" s="868"/>
      <c r="E75" s="868">
        <f t="shared" si="27"/>
        <v>483265</v>
      </c>
      <c r="F75" s="868"/>
      <c r="G75" s="868"/>
      <c r="H75" s="868"/>
      <c r="I75" s="868"/>
      <c r="J75" s="868"/>
      <c r="K75" s="868"/>
      <c r="L75" s="868"/>
      <c r="M75" s="868"/>
      <c r="N75" s="868"/>
      <c r="O75" s="868"/>
      <c r="P75" s="868"/>
      <c r="Q75" s="868"/>
      <c r="R75" s="416">
        <f>SUM(E75:Q75)</f>
        <v>483265</v>
      </c>
      <c r="S75" s="1210"/>
      <c r="T75" s="1210"/>
      <c r="U75" s="1209"/>
    </row>
    <row r="76" spans="1:21" s="105" customFormat="1">
      <c r="A76" s="1032" t="s">
        <v>1846</v>
      </c>
      <c r="B76" s="245">
        <f>SUM(C76+D76)</f>
        <v>127629</v>
      </c>
      <c r="C76" s="868">
        <f>ROUND('[2]4%main spreadsheet'!$BW$82,0)</f>
        <v>127629</v>
      </c>
      <c r="D76" s="868"/>
      <c r="E76" s="868">
        <f t="shared" si="27"/>
        <v>127629</v>
      </c>
      <c r="F76" s="868"/>
      <c r="G76" s="868"/>
      <c r="H76" s="868"/>
      <c r="I76" s="868"/>
      <c r="J76" s="868"/>
      <c r="K76" s="868"/>
      <c r="L76" s="868"/>
      <c r="M76" s="868"/>
      <c r="N76" s="868"/>
      <c r="O76" s="868"/>
      <c r="P76" s="868"/>
      <c r="Q76" s="868"/>
      <c r="R76" s="416">
        <f>SUM(E76:Q76)</f>
        <v>127629</v>
      </c>
      <c r="S76" s="1210"/>
      <c r="T76" s="1210"/>
      <c r="U76" s="1209"/>
    </row>
    <row r="77" spans="1:21" s="105" customFormat="1">
      <c r="A77" s="106" t="s">
        <v>1847</v>
      </c>
      <c r="B77" s="245">
        <f>SUM(C77:D77)</f>
        <v>610894</v>
      </c>
      <c r="C77" s="245">
        <f>SUM(C72:C76)</f>
        <v>610894</v>
      </c>
      <c r="D77" s="245">
        <f>SUM(D72:D76)</f>
        <v>0</v>
      </c>
      <c r="E77" s="245">
        <f t="shared" ref="E77:Q77" si="28">SUM(E72:E76)</f>
        <v>610894</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610894</v>
      </c>
      <c r="S77" s="1210"/>
      <c r="T77" s="1210"/>
      <c r="U77" s="1209"/>
    </row>
    <row r="78" spans="1:21" s="105" customFormat="1">
      <c r="A78" s="104" t="s">
        <v>1848</v>
      </c>
      <c r="B78" s="246"/>
      <c r="C78" s="246"/>
      <c r="D78" s="246"/>
      <c r="E78" s="246"/>
      <c r="F78" s="246"/>
      <c r="G78" s="246"/>
      <c r="H78" s="246"/>
      <c r="I78" s="246"/>
      <c r="J78" s="246"/>
      <c r="K78" s="246"/>
      <c r="L78" s="246"/>
      <c r="M78" s="246"/>
      <c r="N78" s="246"/>
      <c r="O78" s="246"/>
      <c r="P78" s="246"/>
      <c r="Q78" s="246"/>
      <c r="R78" s="246"/>
      <c r="S78" s="246"/>
      <c r="T78" s="246"/>
      <c r="U78" s="1209"/>
    </row>
    <row r="79" spans="1:21" s="105" customFormat="1">
      <c r="A79" s="195" t="s">
        <v>1849</v>
      </c>
      <c r="B79" s="245">
        <f>SUM(C79:D79)</f>
        <v>4644032</v>
      </c>
      <c r="C79" s="868">
        <f>ROUND('[2]4%main spreadsheet'!$BW$46,0)</f>
        <v>4644032</v>
      </c>
      <c r="D79" s="868"/>
      <c r="E79" s="868">
        <f t="shared" ref="E79:E80" si="29">B79-SUM(F79:Q79)</f>
        <v>4644032</v>
      </c>
      <c r="F79" s="868"/>
      <c r="G79" s="868"/>
      <c r="H79" s="868"/>
      <c r="I79" s="868"/>
      <c r="J79" s="868"/>
      <c r="K79" s="868"/>
      <c r="L79" s="868"/>
      <c r="M79" s="868"/>
      <c r="N79" s="868"/>
      <c r="O79" s="868"/>
      <c r="P79" s="868"/>
      <c r="Q79" s="868"/>
      <c r="R79" s="416">
        <f>SUM(E79:Q79)</f>
        <v>4644032</v>
      </c>
      <c r="S79" s="868">
        <f>R79</f>
        <v>4644032</v>
      </c>
      <c r="T79" s="868"/>
      <c r="U79" s="1209"/>
    </row>
    <row r="80" spans="1:21" s="105" customFormat="1">
      <c r="A80" s="195" t="s">
        <v>1850</v>
      </c>
      <c r="B80" s="245">
        <f>SUM(C80:D80)</f>
        <v>600000</v>
      </c>
      <c r="C80" s="868">
        <f>ROUND('[2]4%main spreadsheet'!$BW$57,0)</f>
        <v>600000</v>
      </c>
      <c r="D80" s="868"/>
      <c r="E80" s="868">
        <f t="shared" si="29"/>
        <v>600000</v>
      </c>
      <c r="F80" s="868"/>
      <c r="G80" s="868"/>
      <c r="H80" s="868"/>
      <c r="I80" s="868"/>
      <c r="J80" s="868"/>
      <c r="K80" s="868"/>
      <c r="L80" s="868"/>
      <c r="M80" s="868"/>
      <c r="N80" s="868"/>
      <c r="O80" s="868"/>
      <c r="P80" s="868"/>
      <c r="Q80" s="868"/>
      <c r="R80" s="416">
        <f>SUM(E80:Q80)</f>
        <v>600000</v>
      </c>
      <c r="S80" s="868">
        <f>R80</f>
        <v>600000</v>
      </c>
      <c r="T80" s="868"/>
      <c r="U80" s="1209"/>
    </row>
    <row r="81" spans="1:21" s="105" customFormat="1">
      <c r="A81" s="106" t="s">
        <v>1851</v>
      </c>
      <c r="B81" s="245">
        <f>SUM(C81:D81)</f>
        <v>5244032</v>
      </c>
      <c r="C81" s="1216">
        <f>SUM(C79:C80)</f>
        <v>5244032</v>
      </c>
      <c r="D81" s="1216">
        <f t="shared" ref="D81:T81" si="30">SUM(D79:D80)</f>
        <v>0</v>
      </c>
      <c r="E81" s="1216">
        <f t="shared" si="30"/>
        <v>5244032</v>
      </c>
      <c r="F81" s="1216">
        <f t="shared" si="30"/>
        <v>0</v>
      </c>
      <c r="G81" s="1216">
        <f t="shared" si="30"/>
        <v>0</v>
      </c>
      <c r="H81" s="1216">
        <f t="shared" si="30"/>
        <v>0</v>
      </c>
      <c r="I81" s="1216">
        <f t="shared" si="30"/>
        <v>0</v>
      </c>
      <c r="J81" s="1216">
        <f t="shared" si="30"/>
        <v>0</v>
      </c>
      <c r="K81" s="1216">
        <f t="shared" si="30"/>
        <v>0</v>
      </c>
      <c r="L81" s="1216">
        <f t="shared" si="30"/>
        <v>0</v>
      </c>
      <c r="M81" s="1216">
        <f t="shared" si="30"/>
        <v>0</v>
      </c>
      <c r="N81" s="1216">
        <f t="shared" si="30"/>
        <v>0</v>
      </c>
      <c r="O81" s="1216">
        <f t="shared" si="30"/>
        <v>0</v>
      </c>
      <c r="P81" s="1216">
        <f t="shared" si="30"/>
        <v>0</v>
      </c>
      <c r="Q81" s="1216">
        <f t="shared" si="30"/>
        <v>0</v>
      </c>
      <c r="R81" s="1216">
        <f t="shared" si="30"/>
        <v>5244032</v>
      </c>
      <c r="S81" s="1216">
        <f t="shared" si="30"/>
        <v>5244032</v>
      </c>
      <c r="T81" s="1216">
        <f t="shared" si="30"/>
        <v>0</v>
      </c>
      <c r="U81" s="1209"/>
    </row>
    <row r="82" spans="1:21" s="105" customFormat="1">
      <c r="A82" s="104" t="s">
        <v>1852</v>
      </c>
      <c r="B82" s="246"/>
      <c r="C82" s="246"/>
      <c r="D82" s="246"/>
      <c r="E82" s="246"/>
      <c r="F82" s="246"/>
      <c r="G82" s="246"/>
      <c r="H82" s="246"/>
      <c r="I82" s="246"/>
      <c r="J82" s="246"/>
      <c r="K82" s="246"/>
      <c r="L82" s="246"/>
      <c r="M82" s="246"/>
      <c r="N82" s="246"/>
      <c r="O82" s="246"/>
      <c r="P82" s="246"/>
      <c r="Q82" s="246"/>
      <c r="R82" s="246"/>
      <c r="S82" s="246"/>
      <c r="T82" s="246"/>
      <c r="U82" s="1209"/>
    </row>
    <row r="83" spans="1:21" s="105" customFormat="1" ht="13.7" customHeight="1">
      <c r="A83" s="195" t="s">
        <v>1853</v>
      </c>
      <c r="B83" s="245">
        <f t="shared" ref="B83:B95" si="31">SUM(C83+D83)</f>
        <v>111520</v>
      </c>
      <c r="C83" s="868">
        <f>ROUND('[2]4%main spreadsheet'!$BW$69,0)</f>
        <v>111520</v>
      </c>
      <c r="D83" s="868"/>
      <c r="E83" s="868">
        <f t="shared" ref="E83:E95" si="32">B83-SUM(F83:Q83)</f>
        <v>111520</v>
      </c>
      <c r="F83" s="868"/>
      <c r="G83" s="868"/>
      <c r="H83" s="868"/>
      <c r="I83" s="868"/>
      <c r="J83" s="868"/>
      <c r="K83" s="868"/>
      <c r="L83" s="868"/>
      <c r="M83" s="868"/>
      <c r="N83" s="868"/>
      <c r="O83" s="868"/>
      <c r="P83" s="868"/>
      <c r="Q83" s="868"/>
      <c r="R83" s="416">
        <f t="shared" ref="R83:R95" si="33">SUM(E83:Q83)</f>
        <v>111520</v>
      </c>
      <c r="S83" s="1210"/>
      <c r="T83" s="1210"/>
      <c r="U83" s="1209"/>
    </row>
    <row r="84" spans="1:21" s="105" customFormat="1">
      <c r="A84" s="195" t="s">
        <v>1854</v>
      </c>
      <c r="B84" s="245">
        <f t="shared" si="31"/>
        <v>171862</v>
      </c>
      <c r="C84" s="868">
        <f>ROUND('[2]4%main spreadsheet'!$BW$53,0)</f>
        <v>171862</v>
      </c>
      <c r="D84" s="868"/>
      <c r="E84" s="868">
        <f t="shared" si="32"/>
        <v>171862</v>
      </c>
      <c r="F84" s="868"/>
      <c r="G84" s="868"/>
      <c r="H84" s="868"/>
      <c r="I84" s="868"/>
      <c r="J84" s="868"/>
      <c r="K84" s="868"/>
      <c r="L84" s="868"/>
      <c r="M84" s="868"/>
      <c r="N84" s="868"/>
      <c r="O84" s="868"/>
      <c r="P84" s="868"/>
      <c r="Q84" s="868"/>
      <c r="R84" s="416">
        <f t="shared" si="33"/>
        <v>171862</v>
      </c>
      <c r="S84" s="868">
        <f>R84</f>
        <v>171862</v>
      </c>
      <c r="T84" s="868"/>
      <c r="U84" s="1209"/>
    </row>
    <row r="85" spans="1:21" s="105" customFormat="1">
      <c r="A85" s="195" t="s">
        <v>1855</v>
      </c>
      <c r="B85" s="245">
        <f t="shared" si="31"/>
        <v>1763654</v>
      </c>
      <c r="C85" s="868">
        <f>ROUND('[2]4%main spreadsheet'!$BW$48,0)</f>
        <v>1763654</v>
      </c>
      <c r="D85" s="868"/>
      <c r="E85" s="868">
        <f t="shared" si="32"/>
        <v>1763654</v>
      </c>
      <c r="F85" s="868"/>
      <c r="G85" s="868"/>
      <c r="H85" s="868"/>
      <c r="I85" s="868"/>
      <c r="J85" s="868"/>
      <c r="K85" s="868"/>
      <c r="L85" s="868"/>
      <c r="M85" s="868"/>
      <c r="N85" s="868"/>
      <c r="O85" s="868"/>
      <c r="P85" s="868"/>
      <c r="Q85" s="868"/>
      <c r="R85" s="416">
        <f t="shared" si="33"/>
        <v>1763654</v>
      </c>
      <c r="S85" s="868">
        <f t="shared" ref="S85:S87" si="34">R85</f>
        <v>1763654</v>
      </c>
      <c r="T85" s="868"/>
      <c r="U85" s="1209"/>
    </row>
    <row r="86" spans="1:21" s="105" customFormat="1">
      <c r="A86" s="195" t="s">
        <v>1856</v>
      </c>
      <c r="B86" s="245">
        <f t="shared" si="31"/>
        <v>1272845</v>
      </c>
      <c r="C86" s="868">
        <f>ROUND('[2]4%main spreadsheet'!$BW$47,0)</f>
        <v>1272845</v>
      </c>
      <c r="D86" s="868"/>
      <c r="E86" s="868">
        <f t="shared" si="32"/>
        <v>1272845</v>
      </c>
      <c r="F86" s="868"/>
      <c r="G86" s="868"/>
      <c r="H86" s="868"/>
      <c r="I86" s="868"/>
      <c r="J86" s="868"/>
      <c r="K86" s="868"/>
      <c r="L86" s="868"/>
      <c r="M86" s="868"/>
      <c r="N86" s="868"/>
      <c r="O86" s="868"/>
      <c r="P86" s="868"/>
      <c r="Q86" s="868"/>
      <c r="R86" s="416">
        <f t="shared" si="33"/>
        <v>1272845</v>
      </c>
      <c r="S86" s="868">
        <f t="shared" si="34"/>
        <v>1272845</v>
      </c>
      <c r="T86" s="868"/>
      <c r="U86" s="1209"/>
    </row>
    <row r="87" spans="1:21" s="105" customFormat="1">
      <c r="A87" s="195" t="s">
        <v>1857</v>
      </c>
      <c r="B87" s="245">
        <f t="shared" si="31"/>
        <v>687500</v>
      </c>
      <c r="C87" s="868">
        <f>ROUND('[2]4%main spreadsheet'!$BW$49,0)</f>
        <v>687500</v>
      </c>
      <c r="D87" s="868"/>
      <c r="E87" s="868">
        <f t="shared" si="32"/>
        <v>687500</v>
      </c>
      <c r="F87" s="868"/>
      <c r="G87" s="868"/>
      <c r="H87" s="868"/>
      <c r="I87" s="868"/>
      <c r="J87" s="868"/>
      <c r="K87" s="868"/>
      <c r="L87" s="868"/>
      <c r="M87" s="868"/>
      <c r="N87" s="868"/>
      <c r="O87" s="868"/>
      <c r="P87" s="868"/>
      <c r="Q87" s="868"/>
      <c r="R87" s="416">
        <f t="shared" si="33"/>
        <v>687500</v>
      </c>
      <c r="S87" s="868">
        <f t="shared" si="34"/>
        <v>687500</v>
      </c>
      <c r="T87" s="868"/>
      <c r="U87" s="1209"/>
    </row>
    <row r="88" spans="1:21" s="105" customFormat="1">
      <c r="A88" s="195" t="s">
        <v>1858</v>
      </c>
      <c r="B88" s="245">
        <f t="shared" si="31"/>
        <v>100000</v>
      </c>
      <c r="C88" s="868">
        <f>ROUND('[2]4%main spreadsheet'!$BW$58,0)</f>
        <v>100000</v>
      </c>
      <c r="D88" s="868"/>
      <c r="E88" s="868">
        <f t="shared" si="32"/>
        <v>100000</v>
      </c>
      <c r="F88" s="868"/>
      <c r="G88" s="868"/>
      <c r="H88" s="868"/>
      <c r="I88" s="868"/>
      <c r="J88" s="868"/>
      <c r="K88" s="868"/>
      <c r="L88" s="868"/>
      <c r="M88" s="868"/>
      <c r="N88" s="868"/>
      <c r="O88" s="868"/>
      <c r="P88" s="868"/>
      <c r="Q88" s="868"/>
      <c r="R88" s="416">
        <f t="shared" si="33"/>
        <v>100000</v>
      </c>
      <c r="S88" s="1210"/>
      <c r="T88" s="1210"/>
      <c r="U88" s="1209"/>
    </row>
    <row r="89" spans="1:21" s="105" customFormat="1">
      <c r="A89" s="195" t="s">
        <v>1859</v>
      </c>
      <c r="B89" s="245">
        <f t="shared" si="31"/>
        <v>130000</v>
      </c>
      <c r="C89" s="868">
        <f>ROUND('[2]4%main spreadsheet'!$BW$44,0)</f>
        <v>130000</v>
      </c>
      <c r="D89" s="868"/>
      <c r="E89" s="868">
        <f t="shared" si="32"/>
        <v>130000</v>
      </c>
      <c r="F89" s="868"/>
      <c r="G89" s="868"/>
      <c r="H89" s="868"/>
      <c r="I89" s="868"/>
      <c r="J89" s="868"/>
      <c r="K89" s="868"/>
      <c r="L89" s="868"/>
      <c r="M89" s="868"/>
      <c r="N89" s="868"/>
      <c r="O89" s="868"/>
      <c r="P89" s="868"/>
      <c r="Q89" s="868"/>
      <c r="R89" s="416">
        <f t="shared" si="33"/>
        <v>130000</v>
      </c>
      <c r="S89" s="868">
        <f>R89</f>
        <v>130000</v>
      </c>
      <c r="T89" s="868"/>
      <c r="U89" s="1209"/>
    </row>
    <row r="90" spans="1:21" s="105" customFormat="1">
      <c r="A90" s="195" t="s">
        <v>1860</v>
      </c>
      <c r="B90" s="245">
        <f t="shared" si="31"/>
        <v>15000</v>
      </c>
      <c r="C90" s="868">
        <f>'[2]4%main spreadsheet'!$BW$77</f>
        <v>15000</v>
      </c>
      <c r="D90" s="868"/>
      <c r="E90" s="868">
        <f t="shared" si="32"/>
        <v>15000</v>
      </c>
      <c r="F90" s="868"/>
      <c r="G90" s="868"/>
      <c r="H90" s="868"/>
      <c r="I90" s="868"/>
      <c r="J90" s="868"/>
      <c r="K90" s="868"/>
      <c r="L90" s="868"/>
      <c r="M90" s="868"/>
      <c r="N90" s="868"/>
      <c r="O90" s="868"/>
      <c r="P90" s="868"/>
      <c r="Q90" s="868"/>
      <c r="R90" s="416">
        <f t="shared" si="33"/>
        <v>15000</v>
      </c>
      <c r="S90" s="868"/>
      <c r="T90" s="868"/>
      <c r="U90" s="1209"/>
    </row>
    <row r="91" spans="1:21" s="105" customFormat="1">
      <c r="A91" s="195" t="s">
        <v>1861</v>
      </c>
      <c r="B91" s="245">
        <f t="shared" si="31"/>
        <v>0</v>
      </c>
      <c r="C91" s="868"/>
      <c r="D91" s="868"/>
      <c r="E91" s="868">
        <f t="shared" si="32"/>
        <v>0</v>
      </c>
      <c r="F91" s="868"/>
      <c r="G91" s="868"/>
      <c r="H91" s="868"/>
      <c r="I91" s="868"/>
      <c r="J91" s="868"/>
      <c r="K91" s="868"/>
      <c r="L91" s="868"/>
      <c r="M91" s="868"/>
      <c r="N91" s="868"/>
      <c r="O91" s="868"/>
      <c r="P91" s="868"/>
      <c r="Q91" s="868"/>
      <c r="R91" s="416">
        <f t="shared" si="33"/>
        <v>0</v>
      </c>
      <c r="S91" s="868"/>
      <c r="T91" s="868"/>
      <c r="U91" s="1209"/>
    </row>
    <row r="92" spans="1:21" s="105" customFormat="1">
      <c r="A92" s="195" t="s">
        <v>1862</v>
      </c>
      <c r="B92" s="245">
        <f t="shared" si="31"/>
        <v>7000</v>
      </c>
      <c r="C92" s="868">
        <f>'[2]4%main spreadsheet'!$BW$68</f>
        <v>7000</v>
      </c>
      <c r="D92" s="868"/>
      <c r="E92" s="868">
        <f t="shared" si="32"/>
        <v>7000</v>
      </c>
      <c r="F92" s="868"/>
      <c r="G92" s="868"/>
      <c r="H92" s="868"/>
      <c r="I92" s="868"/>
      <c r="J92" s="868"/>
      <c r="K92" s="868"/>
      <c r="L92" s="868"/>
      <c r="M92" s="868"/>
      <c r="N92" s="868"/>
      <c r="O92" s="868"/>
      <c r="P92" s="868"/>
      <c r="Q92" s="868"/>
      <c r="R92" s="416">
        <f t="shared" si="33"/>
        <v>7000</v>
      </c>
      <c r="S92" s="868">
        <f>R92</f>
        <v>7000</v>
      </c>
      <c r="T92" s="868"/>
      <c r="U92" s="1209"/>
    </row>
    <row r="93" spans="1:21" s="105" customFormat="1">
      <c r="A93" s="1032" t="s">
        <v>1863</v>
      </c>
      <c r="B93" s="245">
        <f t="shared" si="31"/>
        <v>60000</v>
      </c>
      <c r="C93" s="868">
        <f>'[2]4%main spreadsheet'!$BW$54</f>
        <v>60000</v>
      </c>
      <c r="D93" s="868"/>
      <c r="E93" s="868">
        <f t="shared" si="32"/>
        <v>60000</v>
      </c>
      <c r="F93" s="868"/>
      <c r="G93" s="868"/>
      <c r="H93" s="868"/>
      <c r="I93" s="868"/>
      <c r="J93" s="868"/>
      <c r="K93" s="868"/>
      <c r="L93" s="868"/>
      <c r="M93" s="868"/>
      <c r="N93" s="868"/>
      <c r="O93" s="868"/>
      <c r="P93" s="868"/>
      <c r="Q93" s="868"/>
      <c r="R93" s="416">
        <f t="shared" si="33"/>
        <v>60000</v>
      </c>
      <c r="S93" s="868">
        <f>R93</f>
        <v>60000</v>
      </c>
      <c r="T93" s="868"/>
      <c r="U93" s="1209"/>
    </row>
    <row r="94" spans="1:21" s="105" customFormat="1">
      <c r="A94" s="1032" t="s">
        <v>1810</v>
      </c>
      <c r="B94" s="245">
        <f t="shared" si="31"/>
        <v>0</v>
      </c>
      <c r="C94" s="868"/>
      <c r="D94" s="868"/>
      <c r="E94" s="868">
        <f t="shared" si="32"/>
        <v>0</v>
      </c>
      <c r="F94" s="868"/>
      <c r="G94" s="868"/>
      <c r="H94" s="868"/>
      <c r="I94" s="868"/>
      <c r="J94" s="868"/>
      <c r="K94" s="868"/>
      <c r="L94" s="868"/>
      <c r="M94" s="868"/>
      <c r="N94" s="868"/>
      <c r="O94" s="868"/>
      <c r="P94" s="868"/>
      <c r="Q94" s="868"/>
      <c r="R94" s="416">
        <f t="shared" si="33"/>
        <v>0</v>
      </c>
      <c r="S94" s="868"/>
      <c r="T94" s="868"/>
      <c r="U94" s="1209"/>
    </row>
    <row r="95" spans="1:21" s="105" customFormat="1">
      <c r="A95" s="1032" t="s">
        <v>1810</v>
      </c>
      <c r="B95" s="245">
        <f t="shared" si="31"/>
        <v>0</v>
      </c>
      <c r="C95" s="868"/>
      <c r="D95" s="868"/>
      <c r="E95" s="868">
        <f t="shared" si="32"/>
        <v>0</v>
      </c>
      <c r="F95" s="868"/>
      <c r="G95" s="868"/>
      <c r="H95" s="868"/>
      <c r="I95" s="868"/>
      <c r="J95" s="868"/>
      <c r="K95" s="868"/>
      <c r="L95" s="868"/>
      <c r="M95" s="868"/>
      <c r="N95" s="868"/>
      <c r="O95" s="868"/>
      <c r="P95" s="868"/>
      <c r="Q95" s="868"/>
      <c r="R95" s="416">
        <f t="shared" si="33"/>
        <v>0</v>
      </c>
      <c r="S95" s="868"/>
      <c r="T95" s="868"/>
      <c r="U95" s="1209"/>
    </row>
    <row r="96" spans="1:21" s="105" customFormat="1">
      <c r="A96" s="106" t="s">
        <v>1864</v>
      </c>
      <c r="B96" s="245">
        <f>SUM(C96:D96)</f>
        <v>4319381</v>
      </c>
      <c r="C96" s="245">
        <f t="shared" ref="C96:R96" si="35">SUM(C83:C95)</f>
        <v>4319381</v>
      </c>
      <c r="D96" s="245">
        <f t="shared" si="35"/>
        <v>0</v>
      </c>
      <c r="E96" s="245">
        <f t="shared" si="35"/>
        <v>4319381</v>
      </c>
      <c r="F96" s="245">
        <f t="shared" si="35"/>
        <v>0</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4319381</v>
      </c>
      <c r="S96" s="107">
        <f>SUM(S84:S87,S89:S95)</f>
        <v>4092861</v>
      </c>
      <c r="T96" s="245">
        <f>SUM(T84:T87,T89:T95)</f>
        <v>0</v>
      </c>
      <c r="U96" s="1209"/>
    </row>
    <row r="97" spans="1:21" s="105" customFormat="1">
      <c r="A97" s="106" t="s">
        <v>1865</v>
      </c>
      <c r="B97" s="245">
        <f>SUM(C97:D97)</f>
        <v>77176624</v>
      </c>
      <c r="C97" s="245">
        <f t="shared" ref="C97:R97" si="36">SUM(C63+C70+C77+C81+C96)</f>
        <v>77176624</v>
      </c>
      <c r="D97" s="245">
        <f t="shared" si="36"/>
        <v>0</v>
      </c>
      <c r="E97" s="245">
        <f t="shared" si="36"/>
        <v>45275945</v>
      </c>
      <c r="F97" s="245">
        <f t="shared" si="36"/>
        <v>12420000</v>
      </c>
      <c r="G97" s="245">
        <f t="shared" si="36"/>
        <v>9832515</v>
      </c>
      <c r="H97" s="245">
        <f t="shared" si="36"/>
        <v>9181020</v>
      </c>
      <c r="I97" s="245">
        <f t="shared" si="36"/>
        <v>0</v>
      </c>
      <c r="J97" s="245">
        <f t="shared" si="36"/>
        <v>467044</v>
      </c>
      <c r="K97" s="245">
        <f t="shared" si="36"/>
        <v>100</v>
      </c>
      <c r="L97" s="245">
        <f t="shared" si="36"/>
        <v>0</v>
      </c>
      <c r="M97" s="245">
        <f t="shared" si="36"/>
        <v>0</v>
      </c>
      <c r="N97" s="245">
        <f t="shared" si="36"/>
        <v>0</v>
      </c>
      <c r="O97" s="245">
        <f t="shared" si="36"/>
        <v>0</v>
      </c>
      <c r="P97" s="245">
        <f t="shared" si="36"/>
        <v>0</v>
      </c>
      <c r="Q97" s="245">
        <f t="shared" si="36"/>
        <v>0</v>
      </c>
      <c r="R97" s="245">
        <f t="shared" si="36"/>
        <v>77176624</v>
      </c>
      <c r="S97" s="245">
        <f>SUM(S63+S70+S81+S96)</f>
        <v>70038301</v>
      </c>
      <c r="T97" s="245">
        <f>SUM(T63+T70+T81+T96)</f>
        <v>0</v>
      </c>
      <c r="U97" s="1209"/>
    </row>
    <row r="98" spans="1:21" s="105" customFormat="1">
      <c r="A98" s="104" t="s">
        <v>1866</v>
      </c>
      <c r="B98" s="246"/>
      <c r="C98" s="246"/>
      <c r="D98" s="246"/>
      <c r="E98" s="246"/>
      <c r="F98" s="246"/>
      <c r="G98" s="246"/>
      <c r="H98" s="246"/>
      <c r="I98" s="246"/>
      <c r="J98" s="246"/>
      <c r="K98" s="246"/>
      <c r="L98" s="246"/>
      <c r="M98" s="246"/>
      <c r="N98" s="246"/>
      <c r="O98" s="246"/>
      <c r="P98" s="246"/>
      <c r="Q98" s="246"/>
      <c r="R98" s="246"/>
      <c r="S98" s="246"/>
      <c r="T98" s="246"/>
      <c r="U98" s="1209"/>
    </row>
    <row r="99" spans="1:21" s="105" customFormat="1">
      <c r="A99" s="195" t="s">
        <v>1867</v>
      </c>
      <c r="B99" s="245">
        <f>SUM(C99+D99)</f>
        <v>5000000</v>
      </c>
      <c r="C99" s="868">
        <f>'[2]4%main spreadsheet'!$BW$86</f>
        <v>5000000</v>
      </c>
      <c r="D99" s="868"/>
      <c r="E99" s="868">
        <f t="shared" ref="E99:E103" si="37">B99-SUM(F99:Q99)</f>
        <v>2200100</v>
      </c>
      <c r="F99" s="868"/>
      <c r="G99" s="868"/>
      <c r="H99" s="868"/>
      <c r="I99" s="868">
        <f>Application!AO638</f>
        <v>2799900</v>
      </c>
      <c r="J99" s="868"/>
      <c r="K99" s="868"/>
      <c r="L99" s="868"/>
      <c r="M99" s="868"/>
      <c r="N99" s="868"/>
      <c r="O99" s="868"/>
      <c r="P99" s="868"/>
      <c r="Q99" s="868"/>
      <c r="R99" s="416">
        <f>SUM(E99:Q99)</f>
        <v>5000000</v>
      </c>
      <c r="S99" s="868">
        <f>R99</f>
        <v>5000000</v>
      </c>
      <c r="T99" s="868"/>
      <c r="U99" s="1209"/>
    </row>
    <row r="100" spans="1:21" s="105" customFormat="1">
      <c r="A100" s="195" t="s">
        <v>1868</v>
      </c>
      <c r="B100" s="245">
        <f>SUM(C100+D100)</f>
        <v>0</v>
      </c>
      <c r="C100" s="868"/>
      <c r="D100" s="868"/>
      <c r="E100" s="868">
        <f t="shared" si="37"/>
        <v>0</v>
      </c>
      <c r="F100" s="868"/>
      <c r="G100" s="868"/>
      <c r="H100" s="868"/>
      <c r="I100" s="868"/>
      <c r="J100" s="868"/>
      <c r="K100" s="868"/>
      <c r="L100" s="868"/>
      <c r="M100" s="868"/>
      <c r="N100" s="868"/>
      <c r="O100" s="868"/>
      <c r="P100" s="868"/>
      <c r="Q100" s="868"/>
      <c r="R100" s="416">
        <f>SUM(E100:Q100)</f>
        <v>0</v>
      </c>
      <c r="S100" s="868"/>
      <c r="T100" s="868"/>
      <c r="U100" s="1209"/>
    </row>
    <row r="101" spans="1:21" s="105" customFormat="1" ht="12" customHeight="1">
      <c r="A101" s="195" t="s">
        <v>1869</v>
      </c>
      <c r="B101" s="245">
        <f>SUM(C101+D101)</f>
        <v>0</v>
      </c>
      <c r="C101" s="868"/>
      <c r="D101" s="868"/>
      <c r="E101" s="868">
        <f t="shared" si="37"/>
        <v>0</v>
      </c>
      <c r="F101" s="868"/>
      <c r="G101" s="868"/>
      <c r="H101" s="868"/>
      <c r="I101" s="868"/>
      <c r="J101" s="868"/>
      <c r="K101" s="868"/>
      <c r="L101" s="868"/>
      <c r="M101" s="868"/>
      <c r="N101" s="868"/>
      <c r="O101" s="868"/>
      <c r="P101" s="868"/>
      <c r="Q101" s="868"/>
      <c r="R101" s="416">
        <f>SUM(E101:Q101)</f>
        <v>0</v>
      </c>
      <c r="S101" s="868"/>
      <c r="T101" s="868"/>
      <c r="U101" s="1209"/>
    </row>
    <row r="102" spans="1:21" s="105" customFormat="1">
      <c r="A102" s="195" t="s">
        <v>1870</v>
      </c>
      <c r="B102" s="245">
        <f>SUM(C102+D102)</f>
        <v>0</v>
      </c>
      <c r="C102" s="868"/>
      <c r="D102" s="868"/>
      <c r="E102" s="868">
        <f t="shared" si="37"/>
        <v>0</v>
      </c>
      <c r="F102" s="868"/>
      <c r="G102" s="868"/>
      <c r="H102" s="868"/>
      <c r="I102" s="868"/>
      <c r="J102" s="868"/>
      <c r="K102" s="868"/>
      <c r="L102" s="868"/>
      <c r="M102" s="868"/>
      <c r="N102" s="868"/>
      <c r="O102" s="868"/>
      <c r="P102" s="868"/>
      <c r="Q102" s="868"/>
      <c r="R102" s="416">
        <f>SUM(E102:Q102)</f>
        <v>0</v>
      </c>
      <c r="S102" s="868"/>
      <c r="T102" s="868"/>
      <c r="U102" s="1209"/>
    </row>
    <row r="103" spans="1:21" s="105" customFormat="1">
      <c r="A103" s="1032" t="s">
        <v>1810</v>
      </c>
      <c r="B103" s="245">
        <f>SUM(C103+D103)</f>
        <v>0</v>
      </c>
      <c r="C103" s="868"/>
      <c r="D103" s="868"/>
      <c r="E103" s="868">
        <f t="shared" si="37"/>
        <v>0</v>
      </c>
      <c r="F103" s="868"/>
      <c r="G103" s="868"/>
      <c r="H103" s="868"/>
      <c r="I103" s="868"/>
      <c r="J103" s="868"/>
      <c r="K103" s="868"/>
      <c r="L103" s="868"/>
      <c r="M103" s="868"/>
      <c r="N103" s="868"/>
      <c r="O103" s="868"/>
      <c r="P103" s="868"/>
      <c r="Q103" s="868"/>
      <c r="R103" s="416">
        <f>SUM(E103:Q103)</f>
        <v>0</v>
      </c>
      <c r="S103" s="868"/>
      <c r="T103" s="868"/>
      <c r="U103" s="1209"/>
    </row>
    <row r="104" spans="1:21" s="105" customFormat="1">
      <c r="A104" s="106" t="s">
        <v>1871</v>
      </c>
      <c r="B104" s="245">
        <f>SUM(C104:D104)</f>
        <v>5000000</v>
      </c>
      <c r="C104" s="245">
        <f>SUM(C99:C103)</f>
        <v>5000000</v>
      </c>
      <c r="D104" s="245">
        <f t="shared" ref="D104:T104" si="38">SUM(D99:D103)</f>
        <v>0</v>
      </c>
      <c r="E104" s="245">
        <f t="shared" si="38"/>
        <v>2200100</v>
      </c>
      <c r="F104" s="245">
        <f t="shared" si="38"/>
        <v>0</v>
      </c>
      <c r="G104" s="245">
        <f t="shared" si="38"/>
        <v>0</v>
      </c>
      <c r="H104" s="245">
        <f t="shared" si="38"/>
        <v>0</v>
      </c>
      <c r="I104" s="245">
        <f t="shared" si="38"/>
        <v>2799900</v>
      </c>
      <c r="J104" s="245">
        <f t="shared" si="38"/>
        <v>0</v>
      </c>
      <c r="K104" s="245">
        <f t="shared" si="38"/>
        <v>0</v>
      </c>
      <c r="L104" s="245">
        <f t="shared" si="38"/>
        <v>0</v>
      </c>
      <c r="M104" s="245">
        <f t="shared" si="38"/>
        <v>0</v>
      </c>
      <c r="N104" s="245">
        <f t="shared" si="38"/>
        <v>0</v>
      </c>
      <c r="O104" s="245">
        <f t="shared" si="38"/>
        <v>0</v>
      </c>
      <c r="P104" s="245">
        <f t="shared" si="38"/>
        <v>0</v>
      </c>
      <c r="Q104" s="245">
        <f t="shared" si="38"/>
        <v>0</v>
      </c>
      <c r="R104" s="245">
        <f t="shared" si="38"/>
        <v>5000000</v>
      </c>
      <c r="S104" s="107">
        <f t="shared" si="38"/>
        <v>5000000</v>
      </c>
      <c r="T104" s="107">
        <f t="shared" si="38"/>
        <v>0</v>
      </c>
      <c r="U104" s="1209"/>
    </row>
    <row r="105" spans="1:21" s="105" customFormat="1">
      <c r="A105" s="106" t="s">
        <v>1872</v>
      </c>
      <c r="B105" s="107">
        <f>SUM(C105:D105)</f>
        <v>82176624</v>
      </c>
      <c r="C105" s="107">
        <f t="shared" ref="C105:R105" si="39">SUM(C97+C104)</f>
        <v>82176624</v>
      </c>
      <c r="D105" s="107">
        <f t="shared" si="39"/>
        <v>0</v>
      </c>
      <c r="E105" s="107">
        <f t="shared" si="39"/>
        <v>47476045</v>
      </c>
      <c r="F105" s="107">
        <f t="shared" si="39"/>
        <v>12420000</v>
      </c>
      <c r="G105" s="107">
        <f t="shared" si="39"/>
        <v>9832515</v>
      </c>
      <c r="H105" s="107">
        <f t="shared" si="39"/>
        <v>9181020</v>
      </c>
      <c r="I105" s="107">
        <f t="shared" si="39"/>
        <v>2799900</v>
      </c>
      <c r="J105" s="107">
        <f t="shared" si="39"/>
        <v>467044</v>
      </c>
      <c r="K105" s="107">
        <f t="shared" si="39"/>
        <v>100</v>
      </c>
      <c r="L105" s="107">
        <f t="shared" si="39"/>
        <v>0</v>
      </c>
      <c r="M105" s="107">
        <f t="shared" si="39"/>
        <v>0</v>
      </c>
      <c r="N105" s="107">
        <f t="shared" si="39"/>
        <v>0</v>
      </c>
      <c r="O105" s="107">
        <f t="shared" si="39"/>
        <v>0</v>
      </c>
      <c r="P105" s="107">
        <f t="shared" si="39"/>
        <v>0</v>
      </c>
      <c r="Q105" s="107">
        <f t="shared" si="39"/>
        <v>0</v>
      </c>
      <c r="R105" s="245">
        <f t="shared" si="39"/>
        <v>82176624</v>
      </c>
      <c r="S105" s="107">
        <f>S97+S104</f>
        <v>75038301</v>
      </c>
      <c r="T105" s="107">
        <f>T97+T104</f>
        <v>0</v>
      </c>
      <c r="U105" s="1209"/>
    </row>
    <row r="106" spans="1:21">
      <c r="A106" s="414" t="s">
        <v>1873</v>
      </c>
      <c r="B106" s="1217"/>
      <c r="C106" s="1217"/>
      <c r="D106" s="1217"/>
      <c r="E106" s="229"/>
      <c r="F106" s="229"/>
      <c r="G106" s="229"/>
      <c r="H106" s="230" t="s">
        <v>1874</v>
      </c>
      <c r="I106" s="230"/>
      <c r="J106" s="230"/>
      <c r="K106" s="229"/>
      <c r="L106" s="229"/>
      <c r="M106" s="229"/>
      <c r="N106" s="229"/>
      <c r="O106" s="229"/>
      <c r="P106" s="229"/>
      <c r="Q106" s="229"/>
      <c r="R106" s="113" t="s">
        <v>1875</v>
      </c>
      <c r="S106" s="868"/>
      <c r="T106" s="868"/>
      <c r="U106" s="231"/>
    </row>
    <row r="107" spans="1:21">
      <c r="A107" s="1217" t="s">
        <v>1876</v>
      </c>
      <c r="B107" s="229"/>
      <c r="C107" s="1217"/>
      <c r="D107" s="1217"/>
      <c r="E107" s="229"/>
      <c r="F107" s="229"/>
      <c r="G107" s="229"/>
      <c r="H107" s="229"/>
      <c r="I107" s="115" t="s">
        <v>1877</v>
      </c>
      <c r="J107" s="115"/>
      <c r="K107" s="229"/>
      <c r="L107" s="229"/>
      <c r="M107" s="229"/>
      <c r="N107" s="229"/>
      <c r="O107" s="229"/>
      <c r="P107" s="229"/>
      <c r="Q107" s="229"/>
      <c r="R107" s="113" t="s">
        <v>1878</v>
      </c>
      <c r="S107" s="107">
        <f>S105+S106</f>
        <v>75038301</v>
      </c>
      <c r="T107" s="107">
        <f>T105+T106</f>
        <v>0</v>
      </c>
      <c r="U107" s="231"/>
    </row>
    <row r="108" spans="1:21" s="129" customFormat="1">
      <c r="A108" s="115" t="s">
        <v>1879</v>
      </c>
      <c r="B108" s="1217"/>
      <c r="C108" s="1217"/>
      <c r="D108" s="1217"/>
      <c r="E108" s="1218">
        <f>Application!AO648</f>
        <v>47476045</v>
      </c>
      <c r="F108" s="1218">
        <f>Application!AO635</f>
        <v>12420000</v>
      </c>
      <c r="G108" s="1218">
        <f>Application!AO636</f>
        <v>9832515</v>
      </c>
      <c r="H108" s="1218">
        <f>Application!AO637</f>
        <v>9181020</v>
      </c>
      <c r="I108" s="1218">
        <f>Application!AO638</f>
        <v>2799900</v>
      </c>
      <c r="J108" s="1218">
        <f>Application!AO639</f>
        <v>467044</v>
      </c>
      <c r="K108" s="1218">
        <f>Application!AO640</f>
        <v>100</v>
      </c>
      <c r="L108" s="1218">
        <f>Application!AO641</f>
        <v>0</v>
      </c>
      <c r="M108" s="1218">
        <f>Application!AO642</f>
        <v>0</v>
      </c>
      <c r="N108" s="1218">
        <f>Application!AO643</f>
        <v>0</v>
      </c>
      <c r="O108" s="1218">
        <f>Application!AO644</f>
        <v>0</v>
      </c>
      <c r="P108" s="1218">
        <f>Application!AO645</f>
        <v>0</v>
      </c>
      <c r="Q108" s="1218">
        <f>Application!AO646</f>
        <v>0</v>
      </c>
      <c r="R108" s="229"/>
      <c r="S108" s="229"/>
      <c r="T108" s="229"/>
      <c r="U108" s="1219"/>
    </row>
    <row r="109" spans="1:21" ht="10.15" customHeight="1">
      <c r="A109" s="1217"/>
      <c r="B109" s="1217"/>
      <c r="C109" s="1217"/>
      <c r="D109" s="1217"/>
      <c r="E109" s="229"/>
      <c r="F109" s="229"/>
      <c r="G109" s="229"/>
      <c r="H109" s="229"/>
      <c r="I109" s="229"/>
      <c r="J109" s="229"/>
      <c r="K109" s="229"/>
      <c r="L109" s="229"/>
      <c r="M109" s="229"/>
      <c r="N109" s="229"/>
      <c r="O109" s="229"/>
      <c r="P109" s="229"/>
      <c r="Q109" s="229"/>
      <c r="R109" s="229"/>
      <c r="S109" s="229"/>
      <c r="T109" s="229"/>
      <c r="U109" s="231"/>
    </row>
    <row r="110" spans="1:21">
      <c r="A110" s="115" t="s">
        <v>1880</v>
      </c>
      <c r="B110" s="1217"/>
      <c r="C110" s="1217"/>
      <c r="D110" s="1217"/>
      <c r="E110" s="229"/>
      <c r="F110" s="229"/>
      <c r="G110" s="229"/>
      <c r="H110" s="229"/>
      <c r="I110" s="229"/>
      <c r="J110" s="229"/>
      <c r="K110" s="229"/>
      <c r="L110" s="229"/>
      <c r="M110" s="229"/>
      <c r="N110" s="229"/>
      <c r="O110" s="229"/>
      <c r="P110" s="229"/>
      <c r="Q110" s="229"/>
      <c r="R110" s="229"/>
      <c r="S110" s="229"/>
      <c r="T110" s="229"/>
      <c r="U110" s="231"/>
    </row>
    <row r="111" spans="1:21">
      <c r="A111" s="111" t="s">
        <v>1881</v>
      </c>
      <c r="B111" s="1217"/>
      <c r="C111" s="1217"/>
      <c r="D111" s="1217"/>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7"/>
      <c r="C112" s="1217"/>
      <c r="D112" s="1217"/>
      <c r="E112" s="229"/>
      <c r="F112" s="229"/>
      <c r="G112" s="229"/>
      <c r="H112" s="229"/>
      <c r="I112" s="229"/>
      <c r="J112" s="229"/>
      <c r="K112" s="229"/>
      <c r="L112" s="229"/>
      <c r="M112" s="229"/>
      <c r="N112" s="229"/>
      <c r="O112" s="229"/>
      <c r="P112" s="229"/>
      <c r="Q112" s="229"/>
      <c r="R112" s="229"/>
      <c r="S112" s="229"/>
      <c r="T112" s="229"/>
      <c r="U112" s="231"/>
    </row>
    <row r="113" spans="1:21">
      <c r="A113" s="111" t="s">
        <v>1882</v>
      </c>
      <c r="B113" s="1217"/>
      <c r="C113" s="1217"/>
      <c r="D113" s="1217"/>
      <c r="E113" s="229"/>
      <c r="F113" s="229"/>
      <c r="G113" s="229"/>
      <c r="H113" s="229"/>
      <c r="I113" s="229"/>
      <c r="J113" s="229"/>
      <c r="K113" s="229"/>
      <c r="L113" s="229"/>
      <c r="M113" s="229"/>
      <c r="N113" s="229"/>
      <c r="O113" s="229"/>
      <c r="P113" s="229"/>
      <c r="Q113" s="229"/>
      <c r="R113" s="229"/>
      <c r="S113" s="229"/>
      <c r="T113" s="229"/>
      <c r="U113" s="231"/>
    </row>
    <row r="114" spans="1:21">
      <c r="A114" s="111" t="s">
        <v>1883</v>
      </c>
      <c r="B114" s="1217"/>
      <c r="C114" s="1217"/>
      <c r="D114" s="1217"/>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7"/>
      <c r="C115" s="1217"/>
      <c r="D115" s="1217"/>
      <c r="E115" s="229"/>
      <c r="F115" s="229"/>
      <c r="G115" s="229"/>
      <c r="H115" s="229"/>
      <c r="I115" s="229"/>
      <c r="J115" s="229"/>
      <c r="K115" s="229"/>
      <c r="L115" s="229"/>
      <c r="M115" s="229"/>
      <c r="N115" s="229"/>
      <c r="O115" s="229"/>
      <c r="P115" s="229"/>
      <c r="Q115" s="229"/>
      <c r="R115" s="229"/>
      <c r="S115" s="229"/>
      <c r="T115" s="229"/>
      <c r="U115" s="231"/>
    </row>
    <row r="116" spans="1:21">
      <c r="A116" s="248" t="s">
        <v>1884</v>
      </c>
      <c r="B116" s="1217"/>
      <c r="C116" s="1217"/>
      <c r="D116" s="1217"/>
      <c r="E116" s="229"/>
      <c r="F116" s="229"/>
      <c r="G116" s="229"/>
      <c r="H116" s="229"/>
      <c r="I116" s="229"/>
      <c r="J116" s="229"/>
      <c r="K116" s="229"/>
      <c r="L116" s="229"/>
      <c r="M116" s="229"/>
      <c r="N116" s="229"/>
      <c r="O116" s="229"/>
      <c r="P116" s="229"/>
      <c r="Q116" s="229"/>
      <c r="R116" s="229"/>
      <c r="S116" s="229"/>
      <c r="T116" s="229"/>
      <c r="U116" s="231"/>
    </row>
    <row r="117" spans="1:21">
      <c r="A117" s="248" t="s">
        <v>1885</v>
      </c>
      <c r="B117" s="1217"/>
      <c r="C117" s="1217"/>
      <c r="D117" s="1217"/>
      <c r="E117" s="229"/>
      <c r="F117" s="229"/>
      <c r="G117" s="229"/>
      <c r="H117" s="229"/>
      <c r="I117" s="229"/>
      <c r="J117" s="229"/>
      <c r="K117" s="229"/>
      <c r="L117" s="229"/>
      <c r="M117" s="229"/>
      <c r="N117" s="229"/>
      <c r="O117" s="229"/>
      <c r="P117" s="229"/>
      <c r="Q117" s="229"/>
      <c r="R117" s="229"/>
      <c r="S117" s="229"/>
      <c r="T117" s="229"/>
      <c r="U117" s="231"/>
    </row>
    <row r="118" spans="1:21">
      <c r="A118" s="248" t="s">
        <v>1886</v>
      </c>
      <c r="B118" s="1217"/>
      <c r="C118" s="1217"/>
      <c r="D118" s="1217"/>
      <c r="E118" s="229"/>
      <c r="F118" s="229"/>
      <c r="G118" s="229"/>
      <c r="H118" s="229"/>
      <c r="I118" s="229"/>
      <c r="J118" s="229"/>
      <c r="K118" s="229"/>
      <c r="L118" s="229"/>
      <c r="M118" s="229"/>
      <c r="N118" s="229"/>
      <c r="O118" s="229"/>
      <c r="P118" s="229"/>
      <c r="Q118" s="229"/>
      <c r="R118" s="229"/>
      <c r="S118" s="229"/>
      <c r="T118" s="229"/>
      <c r="U118" s="231"/>
    </row>
    <row r="119" spans="1:21">
      <c r="A119" s="248" t="s">
        <v>1887</v>
      </c>
      <c r="B119" s="1217"/>
      <c r="C119" s="1217"/>
      <c r="D119" s="1217"/>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7"/>
      <c r="C120" s="1217"/>
      <c r="D120" s="1217"/>
      <c r="E120" s="229"/>
      <c r="F120" s="229"/>
      <c r="G120" s="229"/>
      <c r="H120" s="229"/>
      <c r="I120" s="229"/>
      <c r="J120" s="229"/>
      <c r="K120" s="229"/>
      <c r="L120" s="229"/>
      <c r="M120" s="229"/>
      <c r="N120" s="229"/>
      <c r="O120" s="229"/>
      <c r="P120" s="229"/>
      <c r="Q120" s="229"/>
      <c r="R120" s="229"/>
      <c r="S120" s="229"/>
      <c r="T120" s="229"/>
      <c r="U120" s="231"/>
    </row>
    <row r="121" spans="1:21" ht="15.75">
      <c r="A121" s="241" t="s">
        <v>1888</v>
      </c>
      <c r="B121" s="1217"/>
      <c r="C121" s="1217"/>
      <c r="D121" s="1217"/>
      <c r="E121" s="229"/>
      <c r="F121" s="229"/>
      <c r="G121" s="229"/>
      <c r="H121" s="229"/>
      <c r="I121" s="229"/>
      <c r="J121" s="229"/>
      <c r="K121" s="229"/>
      <c r="L121" s="229"/>
      <c r="M121" s="229"/>
      <c r="N121" s="229"/>
      <c r="O121" s="229"/>
      <c r="P121" s="229"/>
      <c r="Q121" s="229"/>
      <c r="R121" s="229"/>
      <c r="S121" s="229"/>
      <c r="T121" s="229"/>
      <c r="U121" s="231"/>
    </row>
    <row r="122" spans="1:21">
      <c r="A122" s="230" t="s">
        <v>1889</v>
      </c>
      <c r="B122" s="229"/>
      <c r="C122" s="229"/>
      <c r="D122" s="1802" t="s">
        <v>1890</v>
      </c>
      <c r="E122" s="1802"/>
      <c r="F122" s="1802"/>
      <c r="G122" s="229"/>
      <c r="H122" s="229"/>
      <c r="I122" s="229"/>
      <c r="J122" s="229"/>
      <c r="K122" s="229"/>
      <c r="L122" s="229"/>
      <c r="M122" s="229"/>
      <c r="N122" s="229"/>
      <c r="O122" s="229"/>
      <c r="P122" s="229"/>
      <c r="Q122" s="229"/>
      <c r="R122" s="229"/>
      <c r="S122" s="229"/>
      <c r="T122" s="229"/>
      <c r="U122" s="231"/>
    </row>
    <row r="123" spans="1:21">
      <c r="A123" s="229" t="s">
        <v>1891</v>
      </c>
      <c r="B123" s="238"/>
      <c r="C123" s="229"/>
      <c r="D123" s="1804" t="s">
        <v>1892</v>
      </c>
      <c r="E123" s="1660"/>
      <c r="F123" s="1660"/>
      <c r="G123" s="1660"/>
      <c r="H123" s="1660"/>
      <c r="I123" s="1660"/>
      <c r="J123" s="1660"/>
      <c r="K123" s="1660"/>
      <c r="L123" s="1660"/>
      <c r="M123" s="1660"/>
      <c r="N123" s="1660"/>
      <c r="O123" s="1660"/>
      <c r="P123" s="1660"/>
      <c r="Q123" s="1660"/>
      <c r="R123" s="1660"/>
      <c r="S123" s="1660"/>
      <c r="T123" s="229"/>
      <c r="U123" s="231"/>
    </row>
    <row r="124" spans="1:21" ht="12.75">
      <c r="A124" s="357" t="s">
        <v>1893</v>
      </c>
      <c r="B124" s="238"/>
      <c r="C124" s="357"/>
      <c r="D124" s="1660"/>
      <c r="E124" s="1660"/>
      <c r="F124" s="1660"/>
      <c r="G124" s="1660"/>
      <c r="H124" s="1660"/>
      <c r="I124" s="1660"/>
      <c r="J124" s="1660"/>
      <c r="K124" s="1660"/>
      <c r="L124" s="1660"/>
      <c r="M124" s="1660"/>
      <c r="N124" s="1660"/>
      <c r="O124" s="1660"/>
      <c r="P124" s="1660"/>
      <c r="Q124" s="1660"/>
      <c r="R124" s="1660"/>
      <c r="S124" s="1660"/>
      <c r="T124" s="229"/>
      <c r="U124" s="231"/>
    </row>
    <row r="125" spans="1:21" ht="12.75">
      <c r="A125" s="357" t="s">
        <v>1894</v>
      </c>
      <c r="B125" s="238"/>
      <c r="C125" s="357"/>
      <c r="D125" s="1660"/>
      <c r="E125" s="1660"/>
      <c r="F125" s="1660"/>
      <c r="G125" s="1660"/>
      <c r="H125" s="1660"/>
      <c r="I125" s="1660"/>
      <c r="J125" s="1660"/>
      <c r="K125" s="1660"/>
      <c r="L125" s="1660"/>
      <c r="M125" s="1660"/>
      <c r="N125" s="1660"/>
      <c r="O125" s="1660"/>
      <c r="P125" s="1660"/>
      <c r="Q125" s="1660"/>
      <c r="R125" s="1660"/>
      <c r="S125" s="1660"/>
      <c r="T125" s="229"/>
      <c r="U125" s="231"/>
    </row>
    <row r="126" spans="1:21" ht="12.75">
      <c r="A126" s="357" t="s">
        <v>1895</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1896</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1897</v>
      </c>
      <c r="B128" s="238"/>
      <c r="C128" s="357"/>
      <c r="D128" s="1799"/>
      <c r="E128" s="1799"/>
      <c r="F128" s="1799"/>
      <c r="G128" s="1799"/>
      <c r="H128" s="1799"/>
      <c r="I128" s="357"/>
      <c r="J128" s="1800"/>
      <c r="K128" s="1800"/>
      <c r="L128" s="357"/>
      <c r="M128" s="357"/>
      <c r="N128" s="357"/>
      <c r="O128" s="357"/>
      <c r="P128" s="357"/>
      <c r="Q128" s="357"/>
      <c r="R128" s="357"/>
      <c r="S128" s="357"/>
      <c r="T128" s="229"/>
      <c r="U128" s="231"/>
    </row>
    <row r="129" spans="1:21" ht="12.75">
      <c r="A129" s="357" t="s">
        <v>1070</v>
      </c>
      <c r="B129" s="238"/>
      <c r="C129" s="357"/>
      <c r="D129" s="1801" t="s">
        <v>1898</v>
      </c>
      <c r="E129" s="1801"/>
      <c r="F129" s="1801"/>
      <c r="G129" s="1801"/>
      <c r="H129" s="1801"/>
      <c r="I129" s="357"/>
      <c r="J129" s="357" t="s">
        <v>1899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1900</v>
      </c>
      <c r="B131" s="239">
        <f>SUM(B123:B129)</f>
        <v>0</v>
      </c>
      <c r="C131" s="357"/>
      <c r="D131" s="1681"/>
      <c r="E131" s="1681"/>
      <c r="F131" s="1681"/>
      <c r="G131" s="1681"/>
      <c r="H131" s="1681"/>
      <c r="I131" s="357"/>
      <c r="J131" s="1681"/>
      <c r="K131" s="1681"/>
      <c r="L131" s="1681"/>
      <c r="M131" s="1681"/>
      <c r="N131" s="357"/>
      <c r="O131" s="357"/>
      <c r="P131" s="357"/>
      <c r="Q131" s="357"/>
      <c r="R131" s="357"/>
      <c r="S131" s="357"/>
      <c r="T131" s="229"/>
      <c r="U131" s="231"/>
    </row>
    <row r="132" spans="1:21" ht="12" customHeight="1">
      <c r="A132" s="1220"/>
      <c r="B132" s="357"/>
      <c r="C132" s="357"/>
      <c r="D132" s="1234" t="s">
        <v>1901</v>
      </c>
      <c r="E132" s="1234"/>
      <c r="F132" s="1234"/>
      <c r="G132" s="1234"/>
      <c r="H132" s="1234"/>
      <c r="I132" s="357"/>
      <c r="J132" s="1234" t="s">
        <v>1902</v>
      </c>
      <c r="K132" s="1234"/>
      <c r="L132" s="1234"/>
      <c r="M132" s="1234"/>
      <c r="N132" s="357"/>
      <c r="O132" s="357"/>
      <c r="P132" s="357"/>
      <c r="Q132" s="357"/>
      <c r="R132" s="357"/>
      <c r="S132" s="357"/>
      <c r="T132" s="229"/>
      <c r="U132" s="231"/>
    </row>
    <row r="133" spans="1:21" ht="12" customHeight="1">
      <c r="A133" s="1220"/>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1903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1904</v>
      </c>
      <c r="B135" s="357"/>
      <c r="C135" s="357"/>
      <c r="D135" s="357"/>
      <c r="E135" s="357"/>
      <c r="F135" s="357"/>
      <c r="G135" s="357"/>
      <c r="H135" s="357"/>
      <c r="I135" s="357"/>
      <c r="J135" s="357"/>
      <c r="K135" s="357"/>
      <c r="L135" s="357"/>
      <c r="M135" s="357"/>
      <c r="N135" s="1221"/>
      <c r="O135" s="357"/>
      <c r="P135" s="357"/>
      <c r="Q135" s="357"/>
      <c r="R135" s="357"/>
      <c r="S135" s="357"/>
      <c r="T135" s="229"/>
      <c r="U135" s="231"/>
    </row>
    <row r="136" spans="1:21" ht="12" customHeight="1">
      <c r="A136" s="1220"/>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20"/>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5"/>
      <c r="B138" s="1799"/>
      <c r="C138" s="1799"/>
      <c r="D138" s="233"/>
      <c r="E138" s="1800"/>
      <c r="F138" s="1800"/>
      <c r="G138" s="357"/>
      <c r="H138" s="357"/>
      <c r="I138" s="357"/>
      <c r="J138" s="357"/>
      <c r="K138" s="357"/>
      <c r="L138" s="357"/>
      <c r="M138" s="357"/>
      <c r="N138" s="357"/>
      <c r="O138" s="357"/>
      <c r="P138" s="357"/>
      <c r="Q138" s="357"/>
      <c r="R138" s="357"/>
      <c r="S138" s="357"/>
      <c r="T138" s="235"/>
      <c r="U138" s="236"/>
    </row>
    <row r="139" spans="1:21" ht="12.75">
      <c r="A139" s="1803" t="s">
        <v>1905</v>
      </c>
      <c r="B139" s="1803"/>
      <c r="C139" s="1803"/>
      <c r="D139" s="233"/>
      <c r="E139" s="357" t="s">
        <v>1899</v>
      </c>
      <c r="F139" s="357"/>
      <c r="G139" s="357"/>
      <c r="H139" s="357"/>
      <c r="I139" s="357"/>
      <c r="J139" s="357"/>
      <c r="K139" s="357"/>
      <c r="L139" s="357"/>
      <c r="M139" s="357"/>
      <c r="N139" s="357"/>
      <c r="O139" s="357"/>
      <c r="P139" s="357"/>
      <c r="Q139" s="357"/>
      <c r="R139" s="357"/>
      <c r="S139" s="357"/>
      <c r="T139" s="235"/>
      <c r="U139" s="236"/>
    </row>
    <row r="140" spans="1:21" ht="12.75">
      <c r="A140" s="1220"/>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8" t="s">
        <v>1906</v>
      </c>
      <c r="B1" s="1809"/>
      <c r="C1" s="1809"/>
      <c r="D1" s="1809"/>
      <c r="E1" s="1809"/>
      <c r="F1" s="1809"/>
      <c r="G1" s="1809"/>
      <c r="H1" s="1809"/>
      <c r="I1" s="1809"/>
      <c r="J1" s="1810"/>
      <c r="K1" s="258"/>
    </row>
    <row r="2" spans="1:11" s="304" customFormat="1" ht="72">
      <c r="A2" s="301"/>
      <c r="B2" s="302" t="s">
        <v>1907</v>
      </c>
      <c r="C2" s="302" t="s">
        <v>1908</v>
      </c>
      <c r="D2" s="302" t="s">
        <v>1909</v>
      </c>
      <c r="E2" s="302" t="s">
        <v>1910</v>
      </c>
      <c r="F2" s="302" t="s">
        <v>1911</v>
      </c>
      <c r="G2" s="302" t="s">
        <v>1912</v>
      </c>
      <c r="H2" s="302" t="s">
        <v>1913</v>
      </c>
      <c r="I2" s="302" t="s">
        <v>1914</v>
      </c>
      <c r="J2" s="302" t="s">
        <v>1915</v>
      </c>
      <c r="K2" s="303"/>
    </row>
    <row r="3" spans="1:11" s="263" customFormat="1">
      <c r="A3" s="260" t="s">
        <v>1789</v>
      </c>
      <c r="B3" s="261"/>
      <c r="C3" s="261"/>
      <c r="D3" s="261"/>
      <c r="E3" s="261"/>
      <c r="F3" s="261"/>
      <c r="G3" s="261"/>
      <c r="H3" s="261"/>
      <c r="I3" s="261"/>
      <c r="J3" s="261"/>
      <c r="K3" s="262"/>
    </row>
    <row r="4" spans="1:11" s="263" customFormat="1">
      <c r="A4" s="267" t="s">
        <v>1790</v>
      </c>
      <c r="B4" s="264">
        <f>'Sources and Uses Budget'!C4</f>
        <v>1805673</v>
      </c>
      <c r="C4" s="265"/>
      <c r="D4" s="265"/>
      <c r="E4" s="266"/>
      <c r="F4" s="266"/>
      <c r="G4" s="266"/>
      <c r="H4" s="266"/>
      <c r="I4" s="266"/>
      <c r="J4" s="266"/>
      <c r="K4" s="262"/>
    </row>
    <row r="5" spans="1:11" s="263" customFormat="1">
      <c r="A5" s="267" t="s">
        <v>697</v>
      </c>
      <c r="B5" s="264">
        <f>'Sources and Uses Budget'!C5</f>
        <v>0</v>
      </c>
      <c r="C5" s="265"/>
      <c r="D5" s="265"/>
      <c r="E5" s="266"/>
      <c r="F5" s="266"/>
      <c r="G5" s="266"/>
      <c r="H5" s="266"/>
      <c r="I5" s="266"/>
      <c r="J5" s="266"/>
      <c r="K5" s="262"/>
    </row>
    <row r="6" spans="1:11" s="263" customFormat="1">
      <c r="A6" s="267" t="s">
        <v>1791</v>
      </c>
      <c r="B6" s="264">
        <f>'Sources and Uses Budget'!C6</f>
        <v>41196</v>
      </c>
      <c r="C6" s="265"/>
      <c r="D6" s="265"/>
      <c r="E6" s="266"/>
      <c r="F6" s="266"/>
      <c r="G6" s="266"/>
      <c r="H6" s="266"/>
      <c r="I6" s="266"/>
      <c r="J6" s="266"/>
      <c r="K6" s="262"/>
    </row>
    <row r="7" spans="1:11" s="263" customFormat="1">
      <c r="A7" s="267" t="s">
        <v>1792</v>
      </c>
      <c r="B7" s="264">
        <f>'Sources and Uses Budget'!C7</f>
        <v>0</v>
      </c>
      <c r="C7" s="265"/>
      <c r="D7" s="265"/>
      <c r="E7" s="266"/>
      <c r="F7" s="266"/>
      <c r="G7" s="266"/>
      <c r="H7" s="266"/>
      <c r="I7" s="266"/>
      <c r="J7" s="266"/>
      <c r="K7" s="262"/>
    </row>
    <row r="8" spans="1:11" s="263" customFormat="1">
      <c r="A8" s="268" t="s">
        <v>1793</v>
      </c>
      <c r="B8" s="264">
        <f>'Sources and Uses Budget'!C8</f>
        <v>1846869</v>
      </c>
      <c r="C8" s="264">
        <f>SUM(C4:C7)</f>
        <v>0</v>
      </c>
      <c r="D8" s="264">
        <f>SUM(D4:D7)</f>
        <v>0</v>
      </c>
      <c r="E8" s="266"/>
      <c r="F8" s="266"/>
      <c r="G8" s="266"/>
      <c r="H8" s="266"/>
      <c r="I8" s="266"/>
      <c r="J8" s="266"/>
      <c r="K8" s="262"/>
    </row>
    <row r="9" spans="1:11" s="263" customFormat="1">
      <c r="A9" s="267" t="s">
        <v>1794</v>
      </c>
      <c r="B9" s="264">
        <f>'Sources and Uses Budget'!C9</f>
        <v>0</v>
      </c>
      <c r="C9" s="265"/>
      <c r="D9" s="265"/>
      <c r="E9" s="266"/>
      <c r="F9" s="266"/>
      <c r="G9" s="266"/>
      <c r="H9" s="264">
        <f>'Sources and Uses Budget'!T9</f>
        <v>0</v>
      </c>
      <c r="I9" s="265"/>
      <c r="J9" s="265"/>
      <c r="K9" s="262"/>
    </row>
    <row r="10" spans="1:11" s="263" customFormat="1">
      <c r="A10" s="267" t="s">
        <v>1795</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1796</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1797</v>
      </c>
      <c r="B12" s="264">
        <f>'Sources and Uses Budget'!C12</f>
        <v>1846869</v>
      </c>
      <c r="C12" s="264">
        <f>SUM(C8+C11)</f>
        <v>0</v>
      </c>
      <c r="D12" s="264">
        <f>SUM(D8+D11)</f>
        <v>0</v>
      </c>
      <c r="E12" s="266"/>
      <c r="F12" s="266"/>
      <c r="G12" s="266"/>
      <c r="H12" s="266"/>
      <c r="I12" s="266"/>
      <c r="J12" s="266"/>
      <c r="K12" s="262"/>
    </row>
    <row r="13" spans="1:11" s="263" customFormat="1">
      <c r="A13" s="269" t="s">
        <v>1798</v>
      </c>
      <c r="B13" s="264">
        <f>'Sources and Uses Budget'!C13</f>
        <v>956980</v>
      </c>
      <c r="C13" s="265"/>
      <c r="D13" s="265"/>
      <c r="E13" s="264">
        <f>'Sources and Uses Budget'!S13</f>
        <v>270000</v>
      </c>
      <c r="F13" s="265"/>
      <c r="G13" s="265"/>
      <c r="H13" s="264">
        <f>'Sources and Uses Budget'!T13</f>
        <v>0</v>
      </c>
      <c r="I13" s="265"/>
      <c r="J13" s="265"/>
      <c r="K13" s="262"/>
    </row>
    <row r="14" spans="1:11" s="263" customFormat="1" ht="24">
      <c r="A14" s="267" t="s">
        <v>1916</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1800</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1801</v>
      </c>
      <c r="B16" s="261"/>
      <c r="C16" s="261"/>
      <c r="D16" s="261"/>
      <c r="E16" s="261"/>
      <c r="F16" s="261"/>
      <c r="G16" s="261"/>
      <c r="H16" s="261"/>
      <c r="I16" s="261"/>
      <c r="J16" s="261"/>
      <c r="K16" s="262"/>
    </row>
    <row r="17" spans="1:11" s="263" customFormat="1">
      <c r="A17" s="267" t="s">
        <v>1802</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1803</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1804</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1805</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1806</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1807</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1808</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1809</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1811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1812</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1813</v>
      </c>
      <c r="B28" s="261"/>
      <c r="C28" s="261"/>
      <c r="D28" s="261"/>
      <c r="E28" s="261"/>
      <c r="F28" s="261"/>
      <c r="G28" s="261"/>
      <c r="H28" s="261"/>
      <c r="I28" s="261"/>
      <c r="J28" s="261"/>
      <c r="K28" s="262"/>
    </row>
    <row r="29" spans="1:11" s="263" customFormat="1">
      <c r="A29" s="195" t="s">
        <v>1802</v>
      </c>
      <c r="B29" s="264">
        <f>'Sources and Uses Budget'!C29</f>
        <v>6152485</v>
      </c>
      <c r="C29" s="265"/>
      <c r="D29" s="265"/>
      <c r="E29" s="264">
        <f>'Sources and Uses Budget'!S29</f>
        <v>6152485</v>
      </c>
      <c r="F29" s="265"/>
      <c r="G29" s="265"/>
      <c r="H29" s="264">
        <f>'Sources and Uses Budget'!T29</f>
        <v>0</v>
      </c>
      <c r="I29" s="265"/>
      <c r="J29" s="265"/>
      <c r="K29" s="262"/>
    </row>
    <row r="30" spans="1:11" s="263" customFormat="1">
      <c r="A30" s="195" t="s">
        <v>1803</v>
      </c>
      <c r="B30" s="264">
        <f>'Sources and Uses Budget'!C30</f>
        <v>41536164</v>
      </c>
      <c r="C30" s="265"/>
      <c r="D30" s="265"/>
      <c r="E30" s="264">
        <f>'Sources and Uses Budget'!S30</f>
        <v>41536164</v>
      </c>
      <c r="F30" s="265"/>
      <c r="G30" s="265"/>
      <c r="H30" s="264">
        <f>'Sources and Uses Budget'!T30</f>
        <v>0</v>
      </c>
      <c r="I30" s="265"/>
      <c r="J30" s="265"/>
      <c r="K30" s="262"/>
    </row>
    <row r="31" spans="1:11" s="263" customFormat="1">
      <c r="A31" s="195" t="s">
        <v>1804</v>
      </c>
      <c r="B31" s="264">
        <f>'Sources and Uses Budget'!C31</f>
        <v>1757046</v>
      </c>
      <c r="C31" s="265"/>
      <c r="D31" s="265"/>
      <c r="E31" s="264">
        <f>'Sources and Uses Budget'!S31</f>
        <v>1757046</v>
      </c>
      <c r="F31" s="265"/>
      <c r="G31" s="265"/>
      <c r="H31" s="264">
        <f>'Sources and Uses Budget'!T31</f>
        <v>0</v>
      </c>
      <c r="I31" s="265"/>
      <c r="J31" s="265"/>
      <c r="K31" s="262"/>
    </row>
    <row r="32" spans="1:11" s="263" customFormat="1">
      <c r="A32" s="195" t="s">
        <v>1805</v>
      </c>
      <c r="B32" s="264">
        <f>'Sources and Uses Budget'!C32</f>
        <v>1186022</v>
      </c>
      <c r="C32" s="265"/>
      <c r="D32" s="265"/>
      <c r="E32" s="264">
        <f>'Sources and Uses Budget'!S32</f>
        <v>1186022</v>
      </c>
      <c r="F32" s="265"/>
      <c r="G32" s="265"/>
      <c r="H32" s="264">
        <f>'Sources and Uses Budget'!T32</f>
        <v>0</v>
      </c>
      <c r="I32" s="265"/>
      <c r="J32" s="265"/>
      <c r="K32" s="262"/>
    </row>
    <row r="33" spans="1:11" s="263" customFormat="1">
      <c r="A33" s="195" t="s">
        <v>1806</v>
      </c>
      <c r="B33" s="264">
        <f>'Sources and Uses Budget'!C33</f>
        <v>1186022</v>
      </c>
      <c r="C33" s="265"/>
      <c r="D33" s="265"/>
      <c r="E33" s="264">
        <f>'Sources and Uses Budget'!S33</f>
        <v>1186022</v>
      </c>
      <c r="F33" s="265"/>
      <c r="G33" s="265"/>
      <c r="H33" s="264">
        <f>'Sources and Uses Budget'!T33</f>
        <v>0</v>
      </c>
      <c r="I33" s="265"/>
      <c r="J33" s="265"/>
      <c r="K33" s="262"/>
    </row>
    <row r="34" spans="1:11" s="263" customFormat="1">
      <c r="A34" s="195" t="s">
        <v>1807</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1808</v>
      </c>
      <c r="B35" s="264">
        <f>'Sources and Uses Budget'!C35</f>
        <v>839813</v>
      </c>
      <c r="C35" s="265"/>
      <c r="D35" s="265"/>
      <c r="E35" s="264">
        <f>'Sources and Uses Budget'!S35</f>
        <v>839813</v>
      </c>
      <c r="F35" s="265"/>
      <c r="G35" s="265"/>
      <c r="H35" s="264">
        <f>'Sources and Uses Budget'!T35</f>
        <v>0</v>
      </c>
      <c r="I35" s="265"/>
      <c r="J35" s="265"/>
      <c r="K35" s="262"/>
    </row>
    <row r="36" spans="1:11" s="263" customFormat="1">
      <c r="A36" s="409" t="s">
        <v>1809</v>
      </c>
      <c r="B36" s="264">
        <f>'Sources and Uses Budget'!C36</f>
        <v>274135</v>
      </c>
      <c r="C36" s="265"/>
      <c r="D36" s="265"/>
      <c r="E36" s="264">
        <f>'Sources and Uses Budget'!S36</f>
        <v>274135</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1814</v>
      </c>
      <c r="B38" s="264">
        <f>'Sources and Uses Budget'!C38</f>
        <v>52931687</v>
      </c>
      <c r="C38" s="264">
        <f>SUM(C29:C37)</f>
        <v>0</v>
      </c>
      <c r="D38" s="264">
        <f>SUM(D29:D37)</f>
        <v>0</v>
      </c>
      <c r="E38" s="264">
        <f>'Sources and Uses Budget'!S38</f>
        <v>52931687</v>
      </c>
      <c r="F38" s="270">
        <f>SUM(F29:F37)</f>
        <v>0</v>
      </c>
      <c r="G38" s="270">
        <f>SUM(G29:G37)</f>
        <v>0</v>
      </c>
      <c r="H38" s="264">
        <f>'Sources and Uses Budget'!T38</f>
        <v>0</v>
      </c>
      <c r="I38" s="270">
        <f>SUM(I29:I37)</f>
        <v>0</v>
      </c>
      <c r="J38" s="270">
        <f>SUM(J29:J37)</f>
        <v>0</v>
      </c>
      <c r="K38" s="262"/>
    </row>
    <row r="39" spans="1:11" s="263" customFormat="1">
      <c r="A39" s="260" t="s">
        <v>1815</v>
      </c>
      <c r="B39" s="261"/>
      <c r="C39" s="261"/>
      <c r="D39" s="261"/>
      <c r="E39" s="261"/>
      <c r="F39" s="261"/>
      <c r="G39" s="261"/>
      <c r="H39" s="261"/>
      <c r="I39" s="261"/>
      <c r="J39" s="261"/>
      <c r="K39" s="262"/>
    </row>
    <row r="40" spans="1:11" s="263" customFormat="1">
      <c r="A40" s="267" t="s">
        <v>1816</v>
      </c>
      <c r="B40" s="264">
        <f>'Sources and Uses Budget'!C40</f>
        <v>1462459</v>
      </c>
      <c r="C40" s="265"/>
      <c r="D40" s="265"/>
      <c r="E40" s="264">
        <f>'Sources and Uses Budget'!S40</f>
        <v>1462459</v>
      </c>
      <c r="F40" s="265"/>
      <c r="G40" s="265"/>
      <c r="H40" s="264">
        <f>'Sources and Uses Budget'!T40</f>
        <v>0</v>
      </c>
      <c r="I40" s="265"/>
      <c r="J40" s="265"/>
      <c r="K40" s="262"/>
    </row>
    <row r="41" spans="1:11" s="263" customFormat="1">
      <c r="A41" s="267" t="s">
        <v>1817</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1818</v>
      </c>
      <c r="B42" s="264">
        <f>'Sources and Uses Budget'!C42</f>
        <v>1462459</v>
      </c>
      <c r="C42" s="264">
        <f>SUM(C39:C41)</f>
        <v>0</v>
      </c>
      <c r="D42" s="264">
        <f>SUM(D39:D41)</f>
        <v>0</v>
      </c>
      <c r="E42" s="264">
        <f>'Sources and Uses Budget'!S42</f>
        <v>1462459</v>
      </c>
      <c r="F42" s="270">
        <f>SUM(F40:F41)</f>
        <v>0</v>
      </c>
      <c r="G42" s="270">
        <f>SUM(G40:G41)</f>
        <v>0</v>
      </c>
      <c r="H42" s="264">
        <f>'Sources and Uses Budget'!T42</f>
        <v>0</v>
      </c>
      <c r="I42" s="270">
        <f>SUM(I40:I41)</f>
        <v>0</v>
      </c>
      <c r="J42" s="270">
        <f>SUM(J40:J41)</f>
        <v>0</v>
      </c>
      <c r="K42" s="262"/>
    </row>
    <row r="43" spans="1:11" s="263" customFormat="1">
      <c r="A43" s="268" t="s">
        <v>1819</v>
      </c>
      <c r="B43" s="264">
        <f>'Sources and Uses Budget'!C43</f>
        <v>340872</v>
      </c>
      <c r="C43" s="265"/>
      <c r="D43" s="265"/>
      <c r="E43" s="264">
        <f>'Sources and Uses Budget'!S43</f>
        <v>340872</v>
      </c>
      <c r="F43" s="265"/>
      <c r="G43" s="265"/>
      <c r="H43" s="264">
        <f>'Sources and Uses Budget'!T43</f>
        <v>0</v>
      </c>
      <c r="I43" s="265"/>
      <c r="J43" s="265"/>
      <c r="K43" s="262"/>
    </row>
    <row r="44" spans="1:11" s="263" customFormat="1">
      <c r="A44" s="260" t="s">
        <v>1820</v>
      </c>
      <c r="B44" s="261"/>
      <c r="C44" s="261"/>
      <c r="D44" s="261"/>
      <c r="E44" s="261"/>
      <c r="F44" s="261"/>
      <c r="G44" s="261"/>
      <c r="H44" s="261"/>
      <c r="I44" s="261"/>
      <c r="J44" s="261"/>
      <c r="K44" s="262"/>
    </row>
    <row r="45" spans="1:11" s="263" customFormat="1">
      <c r="A45" s="267" t="s">
        <v>1821</v>
      </c>
      <c r="B45" s="264">
        <f>'Sources and Uses Budget'!C45</f>
        <v>5450762</v>
      </c>
      <c r="C45" s="265"/>
      <c r="D45" s="265"/>
      <c r="E45" s="264">
        <f>'Sources and Uses Budget'!S45</f>
        <v>3385353</v>
      </c>
      <c r="F45" s="265"/>
      <c r="G45" s="265"/>
      <c r="H45" s="264">
        <f>'Sources and Uses Budget'!T45</f>
        <v>0</v>
      </c>
      <c r="I45" s="265"/>
      <c r="J45" s="265"/>
      <c r="K45" s="262"/>
    </row>
    <row r="46" spans="1:11" s="263" customFormat="1">
      <c r="A46" s="267" t="s">
        <v>1822</v>
      </c>
      <c r="B46" s="264">
        <f>'Sources and Uses Budget'!C46</f>
        <v>478963</v>
      </c>
      <c r="C46" s="265"/>
      <c r="D46" s="265"/>
      <c r="E46" s="264">
        <f>'Sources and Uses Budget'!S46</f>
        <v>45031</v>
      </c>
      <c r="F46" s="265"/>
      <c r="G46" s="265"/>
      <c r="H46" s="264">
        <f>'Sources and Uses Budget'!T46</f>
        <v>0</v>
      </c>
      <c r="I46" s="265"/>
      <c r="J46" s="265"/>
      <c r="K46" s="262"/>
    </row>
    <row r="47" spans="1:11" s="263" customFormat="1" ht="12" customHeight="1">
      <c r="A47" s="267" t="s">
        <v>1823</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1824</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1825</v>
      </c>
      <c r="B49" s="264">
        <f>'Sources and Uses Budget'!C49</f>
        <v>393764</v>
      </c>
      <c r="C49" s="265"/>
      <c r="D49" s="265"/>
      <c r="E49" s="264">
        <f>'Sources and Uses Budget'!S49</f>
        <v>37021</v>
      </c>
      <c r="F49" s="265"/>
      <c r="G49" s="265"/>
      <c r="H49" s="264">
        <f>'Sources and Uses Budget'!T49</f>
        <v>0</v>
      </c>
      <c r="I49" s="265"/>
      <c r="J49" s="265"/>
      <c r="K49" s="262"/>
    </row>
    <row r="50" spans="1:11" s="263" customFormat="1">
      <c r="A50" s="267" t="s">
        <v>1826</v>
      </c>
      <c r="B50" s="264">
        <f>'Sources and Uses Budget'!C50</f>
        <v>145000</v>
      </c>
      <c r="C50" s="265"/>
      <c r="D50" s="265"/>
      <c r="E50" s="264">
        <f>'Sources and Uses Budget'!S50</f>
        <v>13632</v>
      </c>
      <c r="F50" s="265"/>
      <c r="G50" s="265"/>
      <c r="H50" s="264">
        <f>'Sources and Uses Budget'!T50</f>
        <v>0</v>
      </c>
      <c r="I50" s="265"/>
      <c r="J50" s="265"/>
      <c r="K50" s="262"/>
    </row>
    <row r="51" spans="1:11" s="263" customFormat="1">
      <c r="A51" s="267" t="s">
        <v>1827</v>
      </c>
      <c r="B51" s="264">
        <f>'Sources and Uses Budget'!C51</f>
        <v>180000</v>
      </c>
      <c r="C51" s="265"/>
      <c r="D51" s="265"/>
      <c r="E51" s="264">
        <f>'Sources and Uses Budget'!S51</f>
        <v>180000</v>
      </c>
      <c r="F51" s="265"/>
      <c r="G51" s="265"/>
      <c r="H51" s="264">
        <f>'Sources and Uses Budget'!T51</f>
        <v>0</v>
      </c>
      <c r="I51" s="265"/>
      <c r="J51" s="265"/>
      <c r="K51" s="262"/>
    </row>
    <row r="52" spans="1:11" s="263" customFormat="1">
      <c r="A52" s="267" t="s">
        <v>1586</v>
      </c>
      <c r="B52" s="264">
        <f>'Sources and Uses Budget'!C52</f>
        <v>1581699</v>
      </c>
      <c r="C52" s="265"/>
      <c r="D52" s="265"/>
      <c r="E52" s="264">
        <f>'Sources and Uses Budget'!S52</f>
        <v>1581699</v>
      </c>
      <c r="F52" s="265"/>
      <c r="G52" s="265"/>
      <c r="H52" s="264">
        <f>'Sources and Uses Budget'!T52</f>
        <v>0</v>
      </c>
      <c r="I52" s="265"/>
      <c r="J52" s="265"/>
      <c r="K52" s="262"/>
    </row>
    <row r="53" spans="1:11" s="263" customFormat="1">
      <c r="A53" s="267" t="str">
        <f>'Sources and Uses Budget'!$A53</f>
        <v>Other: (Soft Loan Accrued Interest)</v>
      </c>
      <c r="B53" s="264">
        <f>'Sources and Uses Budget'!C53</f>
        <v>467044</v>
      </c>
      <c r="C53" s="265"/>
      <c r="D53" s="265"/>
      <c r="E53" s="264">
        <f>'Sources and Uses Budget'!S53</f>
        <v>342498</v>
      </c>
      <c r="F53" s="265"/>
      <c r="G53" s="265"/>
      <c r="H53" s="264">
        <f>'Sources and Uses Budget'!T53</f>
        <v>0</v>
      </c>
      <c r="I53" s="265"/>
      <c r="J53" s="265"/>
      <c r="K53" s="262"/>
    </row>
    <row r="54" spans="1:11" s="272" customFormat="1">
      <c r="A54" s="268" t="s">
        <v>1829</v>
      </c>
      <c r="B54" s="264">
        <f>'Sources and Uses Budget'!C54</f>
        <v>8697232</v>
      </c>
      <c r="C54" s="270">
        <f>SUM(C45:C53)</f>
        <v>0</v>
      </c>
      <c r="D54" s="270">
        <f>SUM(D45:D53)</f>
        <v>0</v>
      </c>
      <c r="E54" s="264">
        <f>'Sources and Uses Budget'!S54</f>
        <v>5585234</v>
      </c>
      <c r="F54" s="270">
        <f>SUM(F45:F53)</f>
        <v>0</v>
      </c>
      <c r="G54" s="270">
        <f>SUM(G45:G53)</f>
        <v>0</v>
      </c>
      <c r="H54" s="264">
        <f>'Sources and Uses Budget'!T54</f>
        <v>0</v>
      </c>
      <c r="I54" s="270">
        <f>SUM(I45:I53)</f>
        <v>0</v>
      </c>
      <c r="J54" s="270">
        <f>SUM(J45:J53)</f>
        <v>0</v>
      </c>
      <c r="K54" s="271"/>
    </row>
    <row r="55" spans="1:11" s="263" customFormat="1">
      <c r="A55" s="260" t="s">
        <v>1375</v>
      </c>
      <c r="B55" s="261"/>
      <c r="C55" s="261"/>
      <c r="D55" s="261"/>
      <c r="E55" s="261"/>
      <c r="F55" s="261"/>
      <c r="G55" s="261"/>
      <c r="H55" s="261"/>
      <c r="I55" s="261"/>
      <c r="J55" s="261"/>
      <c r="K55" s="262"/>
    </row>
    <row r="56" spans="1:11" s="263" customFormat="1">
      <c r="A56" s="267" t="s">
        <v>1830</v>
      </c>
      <c r="B56" s="264">
        <f>'Sources and Uses Budget'!C56</f>
        <v>124200</v>
      </c>
      <c r="C56" s="265"/>
      <c r="D56" s="265"/>
      <c r="E56" s="266"/>
      <c r="F56" s="266"/>
      <c r="G56" s="266"/>
      <c r="H56" s="266"/>
      <c r="I56" s="266"/>
      <c r="J56" s="266"/>
      <c r="K56" s="262"/>
    </row>
    <row r="57" spans="1:11" s="263" customFormat="1" ht="12" customHeight="1">
      <c r="A57" s="267" t="s">
        <v>1823</v>
      </c>
      <c r="B57" s="264">
        <f>'Sources and Uses Budget'!C57</f>
        <v>0</v>
      </c>
      <c r="C57" s="265"/>
      <c r="D57" s="265"/>
      <c r="E57" s="266"/>
      <c r="F57" s="266"/>
      <c r="G57" s="266"/>
      <c r="H57" s="266"/>
      <c r="I57" s="266"/>
      <c r="J57" s="266"/>
      <c r="K57" s="262"/>
    </row>
    <row r="58" spans="1:11" s="263" customFormat="1">
      <c r="A58" s="267" t="s">
        <v>1826</v>
      </c>
      <c r="B58" s="264">
        <f>'Sources and Uses Budget'!C58</f>
        <v>120000</v>
      </c>
      <c r="C58" s="265"/>
      <c r="D58" s="265"/>
      <c r="E58" s="266"/>
      <c r="F58" s="266"/>
      <c r="G58" s="266"/>
      <c r="H58" s="266"/>
      <c r="I58" s="266"/>
      <c r="J58" s="266"/>
      <c r="K58" s="262"/>
    </row>
    <row r="59" spans="1:11" s="263" customFormat="1">
      <c r="A59" s="267" t="s">
        <v>1827</v>
      </c>
      <c r="B59" s="264">
        <f>'Sources and Uses Budget'!C59</f>
        <v>0</v>
      </c>
      <c r="C59" s="265"/>
      <c r="D59" s="265"/>
      <c r="E59" s="266"/>
      <c r="F59" s="266"/>
      <c r="G59" s="266"/>
      <c r="H59" s="266"/>
      <c r="I59" s="266"/>
      <c r="J59" s="266"/>
      <c r="K59" s="262"/>
    </row>
    <row r="60" spans="1:11" s="263" customFormat="1">
      <c r="A60" s="267" t="s">
        <v>1586</v>
      </c>
      <c r="B60" s="264">
        <f>'Sources and Uses Budget'!C60</f>
        <v>0</v>
      </c>
      <c r="C60" s="265"/>
      <c r="D60" s="265"/>
      <c r="E60" s="266"/>
      <c r="F60" s="266"/>
      <c r="G60" s="266"/>
      <c r="H60" s="266"/>
      <c r="I60" s="266"/>
      <c r="J60" s="266"/>
      <c r="K60" s="262"/>
    </row>
    <row r="61" spans="1:11" s="263" customFormat="1">
      <c r="A61" s="267" t="str">
        <f>'Sources and Uses Budget'!$A61</f>
        <v>Other: (Lender Legal and Expenses)</v>
      </c>
      <c r="B61" s="264">
        <f>'Sources and Uses Budget'!C61</f>
        <v>207000</v>
      </c>
      <c r="C61" s="265"/>
      <c r="D61" s="265"/>
      <c r="E61" s="266"/>
      <c r="F61" s="266"/>
      <c r="G61" s="266"/>
      <c r="H61" s="266"/>
      <c r="I61" s="266"/>
      <c r="J61" s="266"/>
      <c r="K61" s="262"/>
    </row>
    <row r="62" spans="1:11" s="263" customFormat="1" ht="13.7" customHeight="1">
      <c r="A62" s="268" t="s">
        <v>1832</v>
      </c>
      <c r="B62" s="264">
        <f>'Sources and Uses Budget'!C62</f>
        <v>451200</v>
      </c>
      <c r="C62" s="264">
        <f>SUM(C56:C61)</f>
        <v>0</v>
      </c>
      <c r="D62" s="264">
        <f>SUM(D56:D61)</f>
        <v>0</v>
      </c>
      <c r="E62" s="266"/>
      <c r="F62" s="266"/>
      <c r="G62" s="266"/>
      <c r="H62" s="266"/>
      <c r="I62" s="266"/>
      <c r="J62" s="266"/>
      <c r="K62" s="262"/>
    </row>
    <row r="63" spans="1:11" s="263" customFormat="1">
      <c r="A63" s="273" t="s">
        <v>1833</v>
      </c>
      <c r="B63" s="264">
        <f>'Sources and Uses Budget'!C63</f>
        <v>66687299</v>
      </c>
      <c r="C63" s="264">
        <f>SUM(C8+C11+C13+C14+C15+C26+C27+C38+C42+C43+C54+C62)</f>
        <v>0</v>
      </c>
      <c r="D63" s="264">
        <f>SUM(D8+D11+D13+D14+D15+D26+D27+D38+D42+D43+D54+D62)</f>
        <v>0</v>
      </c>
      <c r="E63" s="264">
        <f>'Sources and Uses Budget'!S63</f>
        <v>60590252</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1834</v>
      </c>
      <c r="B64" s="261"/>
      <c r="C64" s="261"/>
      <c r="D64" s="261"/>
      <c r="E64" s="261"/>
      <c r="F64" s="261"/>
      <c r="G64" s="261"/>
      <c r="H64" s="261"/>
      <c r="I64" s="261"/>
      <c r="J64" s="261"/>
      <c r="K64" s="262"/>
    </row>
    <row r="65" spans="1:11" s="263" customFormat="1">
      <c r="A65" s="195" t="s">
        <v>1835</v>
      </c>
      <c r="B65" s="264">
        <f>'Sources and Uses Budget'!C65</f>
        <v>225018</v>
      </c>
      <c r="C65" s="265"/>
      <c r="D65" s="265"/>
      <c r="E65" s="264">
        <f>'Sources and Uses Budget'!S65</f>
        <v>21156</v>
      </c>
      <c r="F65" s="265"/>
      <c r="G65" s="265"/>
      <c r="H65" s="264">
        <f>'Sources and Uses Budget'!T65</f>
        <v>0</v>
      </c>
      <c r="I65" s="265"/>
      <c r="J65" s="265"/>
      <c r="K65" s="262"/>
    </row>
    <row r="66" spans="1:11" s="263" customFormat="1" ht="24">
      <c r="A66" s="195" t="s">
        <v>1836</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1837</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1838</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(Sponsor Legal)</v>
      </c>
      <c r="B69" s="264">
        <f>'Sources and Uses Budget'!C69</f>
        <v>90000</v>
      </c>
      <c r="C69" s="265"/>
      <c r="D69" s="265"/>
      <c r="E69" s="264">
        <f>'Sources and Uses Budget'!S69</f>
        <v>90000</v>
      </c>
      <c r="F69" s="265"/>
      <c r="G69" s="265"/>
      <c r="H69" s="264">
        <f>'Sources and Uses Budget'!T69</f>
        <v>0</v>
      </c>
      <c r="I69" s="265"/>
      <c r="J69" s="265"/>
      <c r="K69" s="262"/>
    </row>
    <row r="70" spans="1:11" s="263" customFormat="1">
      <c r="A70" s="268" t="s">
        <v>1917</v>
      </c>
      <c r="B70" s="264">
        <f>'Sources and Uses Budget'!C70</f>
        <v>315018</v>
      </c>
      <c r="C70" s="264">
        <f>SUM(C64:C69)</f>
        <v>0</v>
      </c>
      <c r="D70" s="264">
        <f>SUM(D64:D69)</f>
        <v>0</v>
      </c>
      <c r="E70" s="264">
        <f>'Sources and Uses Budget'!S70</f>
        <v>111156</v>
      </c>
      <c r="F70" s="270">
        <f>SUM(F65:F69)</f>
        <v>0</v>
      </c>
      <c r="G70" s="270">
        <f>SUM(G65:G69)</f>
        <v>0</v>
      </c>
      <c r="H70" s="264">
        <f>'Sources and Uses Budget'!T70</f>
        <v>0</v>
      </c>
      <c r="I70" s="270">
        <f>SUM(I65:I69)</f>
        <v>0</v>
      </c>
      <c r="J70" s="270">
        <f>SUM(J65:J69)</f>
        <v>0</v>
      </c>
      <c r="K70" s="262"/>
    </row>
    <row r="71" spans="1:11" s="263" customFormat="1">
      <c r="A71" s="260" t="s">
        <v>1841</v>
      </c>
      <c r="B71" s="261"/>
      <c r="C71" s="261"/>
      <c r="D71" s="261"/>
      <c r="E71" s="261"/>
      <c r="F71" s="261"/>
      <c r="G71" s="261"/>
      <c r="H71" s="261"/>
      <c r="I71" s="261"/>
      <c r="J71" s="261"/>
      <c r="K71" s="262"/>
    </row>
    <row r="72" spans="1:11" s="263" customFormat="1">
      <c r="A72" s="267" t="s">
        <v>1842</v>
      </c>
      <c r="B72" s="264">
        <f>'Sources and Uses Budget'!C72</f>
        <v>0</v>
      </c>
      <c r="C72" s="265"/>
      <c r="D72" s="265"/>
      <c r="E72" s="266"/>
      <c r="F72" s="266"/>
      <c r="G72" s="266"/>
      <c r="H72" s="266"/>
      <c r="I72" s="266"/>
      <c r="J72" s="266"/>
      <c r="K72" s="262"/>
    </row>
    <row r="73" spans="1:11" s="263" customFormat="1">
      <c r="A73" s="267" t="s">
        <v>1843</v>
      </c>
      <c r="B73" s="264">
        <f>'Sources and Uses Budget'!C73</f>
        <v>0</v>
      </c>
      <c r="C73" s="265"/>
      <c r="D73" s="265"/>
      <c r="E73" s="266"/>
      <c r="F73" s="266"/>
      <c r="G73" s="266"/>
      <c r="H73" s="266"/>
      <c r="I73" s="266"/>
      <c r="J73" s="266"/>
      <c r="K73" s="262"/>
    </row>
    <row r="74" spans="1:11" s="263" customFormat="1">
      <c r="A74" s="269" t="s">
        <v>1844</v>
      </c>
      <c r="B74" s="264">
        <f>'Sources and Uses Budget'!C74</f>
        <v>0</v>
      </c>
      <c r="C74" s="265"/>
      <c r="D74" s="265"/>
      <c r="E74" s="266"/>
      <c r="F74" s="266"/>
      <c r="G74" s="266"/>
      <c r="H74" s="266"/>
      <c r="I74" s="266"/>
      <c r="J74" s="266"/>
      <c r="K74" s="262"/>
    </row>
    <row r="75" spans="1:11" s="263" customFormat="1">
      <c r="A75" s="267" t="s">
        <v>1845</v>
      </c>
      <c r="B75" s="264">
        <f>'Sources and Uses Budget'!C75</f>
        <v>483265</v>
      </c>
      <c r="C75" s="265"/>
      <c r="D75" s="265"/>
      <c r="E75" s="266"/>
      <c r="F75" s="266"/>
      <c r="G75" s="266"/>
      <c r="H75" s="266"/>
      <c r="I75" s="266"/>
      <c r="J75" s="266"/>
      <c r="K75" s="262"/>
    </row>
    <row r="76" spans="1:11" s="263" customFormat="1">
      <c r="A76" s="267" t="str">
        <f>'Sources and Uses Budget'!$A76</f>
        <v>Other: (HCD Transition Reserve Fee)</v>
      </c>
      <c r="B76" s="264">
        <f>'Sources and Uses Budget'!C76</f>
        <v>127629</v>
      </c>
      <c r="C76" s="265"/>
      <c r="D76" s="265"/>
      <c r="E76" s="266"/>
      <c r="F76" s="266"/>
      <c r="G76" s="266"/>
      <c r="H76" s="266"/>
      <c r="I76" s="266"/>
      <c r="J76" s="266"/>
      <c r="K76" s="262"/>
    </row>
    <row r="77" spans="1:11" s="263" customFormat="1">
      <c r="A77" s="268" t="s">
        <v>1847</v>
      </c>
      <c r="B77" s="264">
        <f>'Sources and Uses Budget'!C77</f>
        <v>610894</v>
      </c>
      <c r="C77" s="264">
        <f>SUM(C72:C76)</f>
        <v>0</v>
      </c>
      <c r="D77" s="264">
        <f>SUM(D72:D76)</f>
        <v>0</v>
      </c>
      <c r="E77" s="266"/>
      <c r="F77" s="266"/>
      <c r="G77" s="266"/>
      <c r="H77" s="266"/>
      <c r="I77" s="266"/>
      <c r="J77" s="266"/>
      <c r="K77" s="262"/>
    </row>
    <row r="78" spans="1:11" s="263" customFormat="1">
      <c r="A78" s="260" t="s">
        <v>1848</v>
      </c>
      <c r="B78" s="261"/>
      <c r="C78" s="261"/>
      <c r="D78" s="261"/>
      <c r="E78" s="261"/>
      <c r="F78" s="261"/>
      <c r="G78" s="261"/>
      <c r="H78" s="261"/>
      <c r="I78" s="261"/>
      <c r="J78" s="261"/>
      <c r="K78" s="262"/>
    </row>
    <row r="79" spans="1:11" s="263" customFormat="1">
      <c r="A79" s="267" t="s">
        <v>1849</v>
      </c>
      <c r="B79" s="264">
        <f>'Sources and Uses Budget'!C79</f>
        <v>4644032</v>
      </c>
      <c r="C79" s="265"/>
      <c r="D79" s="265"/>
      <c r="E79" s="264">
        <f>'Sources and Uses Budget'!S79</f>
        <v>4644032</v>
      </c>
      <c r="F79" s="265"/>
      <c r="G79" s="265"/>
      <c r="H79" s="264">
        <f>'Sources and Uses Budget'!T79</f>
        <v>0</v>
      </c>
      <c r="I79" s="265"/>
      <c r="J79" s="265"/>
      <c r="K79" s="262"/>
    </row>
    <row r="80" spans="1:11" s="263" customFormat="1">
      <c r="A80" s="267" t="s">
        <v>1850</v>
      </c>
      <c r="B80" s="264">
        <f>'Sources and Uses Budget'!C80</f>
        <v>600000</v>
      </c>
      <c r="C80" s="265"/>
      <c r="D80" s="265"/>
      <c r="E80" s="264">
        <f>'Sources and Uses Budget'!S80</f>
        <v>600000</v>
      </c>
      <c r="F80" s="265"/>
      <c r="G80" s="265"/>
      <c r="H80" s="264">
        <f>'Sources and Uses Budget'!T80</f>
        <v>0</v>
      </c>
      <c r="I80" s="265"/>
      <c r="J80" s="265"/>
      <c r="K80" s="262"/>
    </row>
    <row r="81" spans="1:11" s="263" customFormat="1">
      <c r="A81" s="268" t="s">
        <v>1851</v>
      </c>
      <c r="B81" s="264">
        <f>'Sources and Uses Budget'!C81</f>
        <v>5244032</v>
      </c>
      <c r="C81" s="264">
        <f>SUM(C79:C80)</f>
        <v>0</v>
      </c>
      <c r="D81" s="264">
        <f>SUM(D79:D80)</f>
        <v>0</v>
      </c>
      <c r="E81" s="264">
        <f>'Sources and Uses Budget'!S81</f>
        <v>5244032</v>
      </c>
      <c r="F81" s="264">
        <f>SUM(F79:F80)</f>
        <v>0</v>
      </c>
      <c r="G81" s="264">
        <f>SUM(G79:G80)</f>
        <v>0</v>
      </c>
      <c r="H81" s="264">
        <f>'Sources and Uses Budget'!T81</f>
        <v>0</v>
      </c>
      <c r="I81" s="264">
        <f>SUM(I79:I80)</f>
        <v>0</v>
      </c>
      <c r="J81" s="264">
        <f>SUM(J79:J80)</f>
        <v>0</v>
      </c>
      <c r="K81" s="262"/>
    </row>
    <row r="82" spans="1:11" s="263" customFormat="1">
      <c r="A82" s="260" t="s">
        <v>1852</v>
      </c>
      <c r="B82" s="261"/>
      <c r="C82" s="261"/>
      <c r="D82" s="261"/>
      <c r="E82" s="261"/>
      <c r="F82" s="261"/>
      <c r="G82" s="261"/>
      <c r="H82" s="261"/>
      <c r="I82" s="261"/>
      <c r="J82" s="261"/>
      <c r="K82" s="262"/>
    </row>
    <row r="83" spans="1:11" s="263" customFormat="1" ht="13.7" customHeight="1">
      <c r="A83" s="195" t="s">
        <v>1853</v>
      </c>
      <c r="B83" s="264">
        <f>'Sources and Uses Budget'!C83</f>
        <v>111520</v>
      </c>
      <c r="C83" s="265"/>
      <c r="D83" s="265"/>
      <c r="E83" s="266"/>
      <c r="F83" s="266"/>
      <c r="G83" s="266"/>
      <c r="H83" s="266"/>
      <c r="I83" s="266"/>
      <c r="J83" s="266"/>
      <c r="K83" s="262"/>
    </row>
    <row r="84" spans="1:11" s="263" customFormat="1">
      <c r="A84" s="195" t="s">
        <v>1854</v>
      </c>
      <c r="B84" s="264">
        <f>'Sources and Uses Budget'!C84</f>
        <v>171862</v>
      </c>
      <c r="C84" s="265"/>
      <c r="D84" s="265"/>
      <c r="E84" s="264">
        <f>'Sources and Uses Budget'!S84</f>
        <v>171862</v>
      </c>
      <c r="F84" s="265"/>
      <c r="G84" s="265"/>
      <c r="H84" s="264">
        <f>'Sources and Uses Budget'!T84</f>
        <v>0</v>
      </c>
      <c r="I84" s="265"/>
      <c r="J84" s="265"/>
      <c r="K84" s="262"/>
    </row>
    <row r="85" spans="1:11" s="263" customFormat="1">
      <c r="A85" s="195" t="s">
        <v>1855</v>
      </c>
      <c r="B85" s="264">
        <f>'Sources and Uses Budget'!C85</f>
        <v>1763654</v>
      </c>
      <c r="C85" s="265"/>
      <c r="D85" s="265"/>
      <c r="E85" s="264">
        <f>'Sources and Uses Budget'!S85</f>
        <v>1763654</v>
      </c>
      <c r="F85" s="265"/>
      <c r="G85" s="265"/>
      <c r="H85" s="264">
        <f>'Sources and Uses Budget'!T85</f>
        <v>0</v>
      </c>
      <c r="I85" s="265"/>
      <c r="J85" s="265"/>
      <c r="K85" s="262"/>
    </row>
    <row r="86" spans="1:11" s="263" customFormat="1">
      <c r="A86" s="195" t="s">
        <v>1856</v>
      </c>
      <c r="B86" s="264">
        <f>'Sources and Uses Budget'!C86</f>
        <v>1272845</v>
      </c>
      <c r="C86" s="265"/>
      <c r="D86" s="265"/>
      <c r="E86" s="264">
        <f>'Sources and Uses Budget'!S86</f>
        <v>1272845</v>
      </c>
      <c r="F86" s="265"/>
      <c r="G86" s="265"/>
      <c r="H86" s="264">
        <f>'Sources and Uses Budget'!T86</f>
        <v>0</v>
      </c>
      <c r="I86" s="265"/>
      <c r="J86" s="265"/>
      <c r="K86" s="262"/>
    </row>
    <row r="87" spans="1:11" s="263" customFormat="1">
      <c r="A87" s="195" t="s">
        <v>1857</v>
      </c>
      <c r="B87" s="264">
        <f>'Sources and Uses Budget'!C87</f>
        <v>687500</v>
      </c>
      <c r="C87" s="265"/>
      <c r="D87" s="265"/>
      <c r="E87" s="264">
        <f>'Sources and Uses Budget'!S87</f>
        <v>687500</v>
      </c>
      <c r="F87" s="265"/>
      <c r="G87" s="265"/>
      <c r="H87" s="264">
        <f>'Sources and Uses Budget'!T87</f>
        <v>0</v>
      </c>
      <c r="I87" s="265"/>
      <c r="J87" s="265"/>
      <c r="K87" s="262"/>
    </row>
    <row r="88" spans="1:11" s="263" customFormat="1">
      <c r="A88" s="195" t="s">
        <v>1858</v>
      </c>
      <c r="B88" s="264">
        <f>'Sources and Uses Budget'!C88</f>
        <v>100000</v>
      </c>
      <c r="C88" s="265"/>
      <c r="D88" s="265"/>
      <c r="E88" s="266"/>
      <c r="F88" s="266"/>
      <c r="G88" s="266"/>
      <c r="H88" s="266"/>
      <c r="I88" s="266"/>
      <c r="J88" s="266"/>
      <c r="K88" s="262"/>
    </row>
    <row r="89" spans="1:11" s="263" customFormat="1">
      <c r="A89" s="195" t="s">
        <v>1859</v>
      </c>
      <c r="B89" s="264">
        <f>'Sources and Uses Budget'!C89</f>
        <v>130000</v>
      </c>
      <c r="C89" s="265"/>
      <c r="D89" s="265"/>
      <c r="E89" s="264">
        <f>'Sources and Uses Budget'!S89</f>
        <v>130000</v>
      </c>
      <c r="F89" s="265"/>
      <c r="G89" s="265"/>
      <c r="H89" s="264">
        <f>'Sources and Uses Budget'!T89</f>
        <v>0</v>
      </c>
      <c r="I89" s="265"/>
      <c r="J89" s="265"/>
      <c r="K89" s="262"/>
    </row>
    <row r="90" spans="1:11" s="263" customFormat="1">
      <c r="A90" s="195" t="s">
        <v>1860</v>
      </c>
      <c r="B90" s="264">
        <f>'Sources and Uses Budget'!C90</f>
        <v>15000</v>
      </c>
      <c r="C90" s="265"/>
      <c r="D90" s="265"/>
      <c r="E90" s="264">
        <f>'Sources and Uses Budget'!S90</f>
        <v>0</v>
      </c>
      <c r="F90" s="265"/>
      <c r="G90" s="265"/>
      <c r="H90" s="264">
        <f>'Sources and Uses Budget'!T90</f>
        <v>0</v>
      </c>
      <c r="I90" s="265"/>
      <c r="J90" s="265"/>
      <c r="K90" s="262"/>
    </row>
    <row r="91" spans="1:11" s="263" customFormat="1">
      <c r="A91" s="409" t="s">
        <v>1861</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1862</v>
      </c>
      <c r="B92" s="264">
        <f>'Sources and Uses Budget'!C92</f>
        <v>7000</v>
      </c>
      <c r="C92" s="265"/>
      <c r="D92" s="265"/>
      <c r="E92" s="264">
        <f>'Sources and Uses Budget'!S92</f>
        <v>7000</v>
      </c>
      <c r="F92" s="265"/>
      <c r="G92" s="265"/>
      <c r="H92" s="264">
        <f>'Sources and Uses Budget'!T92</f>
        <v>0</v>
      </c>
      <c r="I92" s="265"/>
      <c r="J92" s="265"/>
      <c r="K92" s="262"/>
    </row>
    <row r="93" spans="1:11" s="263" customFormat="1">
      <c r="A93" s="267" t="str">
        <f>'Sources and Uses Budget'!$A93</f>
        <v>Other: (Security)</v>
      </c>
      <c r="B93" s="264">
        <f>'Sources and Uses Budget'!C93</f>
        <v>60000</v>
      </c>
      <c r="C93" s="265"/>
      <c r="D93" s="265"/>
      <c r="E93" s="264">
        <f>'Sources and Uses Budget'!S93</f>
        <v>60000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1864</v>
      </c>
      <c r="B96" s="264">
        <f>'Sources and Uses Budget'!C96</f>
        <v>4319381</v>
      </c>
      <c r="C96" s="264">
        <f>SUM(C83:C95)</f>
        <v>0</v>
      </c>
      <c r="D96" s="264">
        <f>SUM(D83:D95)</f>
        <v>0</v>
      </c>
      <c r="E96" s="264">
        <f>'Sources and Uses Budget'!S96</f>
        <v>4092861</v>
      </c>
      <c r="F96" s="270">
        <f>SUM(F84:F87,F89:F95)</f>
        <v>0</v>
      </c>
      <c r="G96" s="270">
        <f>SUM(G84:G87,G89:G95)</f>
        <v>0</v>
      </c>
      <c r="H96" s="264">
        <f>'Sources and Uses Budget'!T96</f>
        <v>0</v>
      </c>
      <c r="I96" s="264">
        <f>SUM(I84:I87,I89:I95)</f>
        <v>0</v>
      </c>
      <c r="J96" s="264">
        <f>SUM(J84:J87,J89:J95)</f>
        <v>0</v>
      </c>
      <c r="K96" s="262"/>
    </row>
    <row r="97" spans="1:11" s="263" customFormat="1">
      <c r="A97" s="268" t="s">
        <v>1918</v>
      </c>
      <c r="B97" s="264">
        <f>'Sources and Uses Budget'!C97</f>
        <v>77176624</v>
      </c>
      <c r="C97" s="264">
        <f>SUM(C63+C70+C77+C81+C96)</f>
        <v>0</v>
      </c>
      <c r="D97" s="264">
        <f>SUM(D63+D70+D77+D81+D96)</f>
        <v>0</v>
      </c>
      <c r="E97" s="264">
        <f>'Sources and Uses Budget'!S97</f>
        <v>70038301</v>
      </c>
      <c r="F97" s="270">
        <f>SUM(+F63+F70+F81+F96)</f>
        <v>0</v>
      </c>
      <c r="G97" s="270">
        <f>SUM(+G63+G70+G81+G96)</f>
        <v>0</v>
      </c>
      <c r="H97" s="264">
        <f>'Sources and Uses Budget'!T97</f>
        <v>0</v>
      </c>
      <c r="I97" s="270">
        <f>SUM(I63+I70+I81+I96)</f>
        <v>0</v>
      </c>
      <c r="J97" s="270">
        <f>SUM(J63+J70+J81+J96)</f>
        <v>0</v>
      </c>
      <c r="K97" s="262"/>
    </row>
    <row r="98" spans="1:11" s="263" customFormat="1">
      <c r="A98" s="260" t="s">
        <v>1866</v>
      </c>
      <c r="B98" s="261"/>
      <c r="C98" s="261"/>
      <c r="D98" s="261"/>
      <c r="E98" s="261"/>
      <c r="F98" s="261"/>
      <c r="G98" s="261"/>
      <c r="H98" s="261"/>
      <c r="I98" s="261"/>
      <c r="J98" s="261"/>
      <c r="K98" s="262"/>
    </row>
    <row r="99" spans="1:11" s="263" customFormat="1">
      <c r="A99" s="195" t="s">
        <v>1867</v>
      </c>
      <c r="B99" s="264">
        <f>'Sources and Uses Budget'!C99</f>
        <v>5000000</v>
      </c>
      <c r="C99" s="265"/>
      <c r="D99" s="265"/>
      <c r="E99" s="264">
        <f>'Sources and Uses Budget'!S99</f>
        <v>5000000</v>
      </c>
      <c r="F99" s="265"/>
      <c r="G99" s="265"/>
      <c r="H99" s="264">
        <f>'Sources and Uses Budget'!T99</f>
        <v>0</v>
      </c>
      <c r="I99" s="265"/>
      <c r="J99" s="265"/>
      <c r="K99" s="262"/>
    </row>
    <row r="100" spans="1:11" s="263" customFormat="1">
      <c r="A100" s="195" t="s">
        <v>1868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1870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1871</v>
      </c>
      <c r="B104" s="264">
        <f>'Sources and Uses Budget'!C104</f>
        <v>5000000</v>
      </c>
      <c r="C104" s="264">
        <f>SUM(C99:C103)</f>
        <v>0</v>
      </c>
      <c r="D104" s="264">
        <f>SUM(D99:D103)</f>
        <v>0</v>
      </c>
      <c r="E104" s="264">
        <f>'Sources and Uses Budget'!S104</f>
        <v>5000000</v>
      </c>
      <c r="F104" s="270">
        <f>SUM(F99:F103)</f>
        <v>0</v>
      </c>
      <c r="G104" s="270">
        <f>SUM(G99:G103)</f>
        <v>0</v>
      </c>
      <c r="H104" s="264">
        <f>'Sources and Uses Budget'!T104</f>
        <v>0</v>
      </c>
      <c r="I104" s="270">
        <f>SUM(I99:I103)</f>
        <v>0</v>
      </c>
      <c r="J104" s="270">
        <f>SUM(J99:J103)</f>
        <v>0</v>
      </c>
      <c r="K104" s="262"/>
    </row>
    <row r="105" spans="1:11" s="263" customFormat="1">
      <c r="A105" s="268" t="s">
        <v>1919</v>
      </c>
      <c r="B105" s="264">
        <f>'Sources and Uses Budget'!C105</f>
        <v>82176624</v>
      </c>
      <c r="C105" s="270">
        <f>SUM(C97+C104)</f>
        <v>0</v>
      </c>
      <c r="D105" s="270">
        <f>SUM(D97+D104)</f>
        <v>0</v>
      </c>
      <c r="E105" s="264">
        <f>'Sources and Uses Budget'!S105</f>
        <v>75038301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1920</v>
      </c>
      <c r="E107" s="264">
        <f>'Sources and Uses Budget'!S107</f>
        <v>75038301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6"/>
      <c r="E124" s="1780"/>
      <c r="F124" s="1780"/>
      <c r="G124" s="1780"/>
      <c r="H124" s="1780"/>
      <c r="I124" s="1780"/>
      <c r="J124" s="279"/>
      <c r="K124" s="262"/>
    </row>
    <row r="125" spans="1:11" s="263" customFormat="1" ht="12.75">
      <c r="A125" s="288"/>
      <c r="B125" s="287"/>
      <c r="C125" s="288"/>
      <c r="D125" s="1780"/>
      <c r="E125" s="1780"/>
      <c r="F125" s="1780"/>
      <c r="G125" s="1780"/>
      <c r="H125" s="1780"/>
      <c r="I125" s="1780"/>
      <c r="J125" s="279"/>
      <c r="K125" s="262"/>
    </row>
    <row r="126" spans="1:11" s="263" customFormat="1" ht="12.75">
      <c r="A126" s="288"/>
      <c r="B126" s="287"/>
      <c r="C126" s="288"/>
      <c r="D126" s="1780"/>
      <c r="E126" s="1780"/>
      <c r="F126" s="1780"/>
      <c r="G126" s="1780"/>
      <c r="H126" s="1780"/>
      <c r="I126" s="1780"/>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7"/>
      <c r="B139" s="1780"/>
      <c r="C139" s="1780"/>
      <c r="D139" s="259"/>
      <c r="E139" s="288"/>
      <c r="F139" s="288"/>
      <c r="G139" s="288"/>
    </row>
    <row r="140" spans="1:11" ht="12" customHeight="1">
      <c r="A140" s="1763"/>
      <c r="B140" s="1763"/>
      <c r="C140" s="17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1819" t="s">
        <v>1921</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c r="AR1" s="1820"/>
      <c r="AS1" s="1820"/>
      <c r="AT1" s="1820"/>
      <c r="AU1" s="1820"/>
      <c r="AV1" s="1820"/>
      <c r="AW1" s="1820"/>
      <c r="AX1" s="1820"/>
      <c r="AY1" s="1820"/>
      <c r="AZ1" s="1820"/>
      <c r="BA1" s="1820"/>
      <c r="BB1" s="1820"/>
      <c r="BC1" s="1820"/>
      <c r="BD1" s="1820"/>
      <c r="BE1" s="1821"/>
    </row>
    <row r="2" spans="1:65" ht="15.75" customHeight="1">
      <c r="A2" s="1822" t="s">
        <v>1922</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4"/>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5" t="s">
        <v>1923</v>
      </c>
      <c r="AY3" s="1826"/>
      <c r="AZ3" s="1826"/>
      <c r="BA3" s="1827"/>
      <c r="BB3" s="1825" t="s">
        <v>1924</v>
      </c>
      <c r="BC3" s="1826"/>
      <c r="BD3" s="1826"/>
      <c r="BE3" s="1827"/>
    </row>
    <row r="4" spans="1:65" ht="15.75" customHeight="1" thickBot="1">
      <c r="A4" s="1096"/>
      <c r="B4" s="1098" t="s">
        <v>77</v>
      </c>
      <c r="C4" s="1098"/>
      <c r="D4" s="1098"/>
      <c r="E4" s="1098"/>
      <c r="F4" s="1098"/>
      <c r="G4" s="1097"/>
      <c r="H4" s="1097"/>
      <c r="I4" s="1097"/>
      <c r="J4" s="1097"/>
      <c r="K4" s="1097"/>
      <c r="L4" s="1814" t="str">
        <f>IF(Application!H18="","",Application!H18)</f>
        <v>Greenfield Commons II</v>
      </c>
      <c r="M4" s="1815"/>
      <c r="N4" s="1815"/>
      <c r="O4" s="1815"/>
      <c r="P4" s="1815"/>
      <c r="Q4" s="1815"/>
      <c r="R4" s="1815"/>
      <c r="S4" s="1815"/>
      <c r="T4" s="1815"/>
      <c r="U4" s="1815"/>
      <c r="V4" s="1815"/>
      <c r="W4" s="1815"/>
      <c r="X4" s="1815"/>
      <c r="Y4" s="1815"/>
      <c r="Z4" s="1815"/>
      <c r="AA4" s="1815"/>
      <c r="AB4" s="1815"/>
      <c r="AC4" s="1816"/>
      <c r="AD4" s="1097"/>
      <c r="AE4" s="1097"/>
      <c r="AF4" s="1828" t="s">
        <v>1925</v>
      </c>
      <c r="AG4" s="1828"/>
      <c r="AH4" s="1828"/>
      <c r="AI4" s="1828"/>
      <c r="AJ4" s="1828"/>
      <c r="AK4" s="1828"/>
      <c r="AL4" s="1828"/>
      <c r="AM4" s="1828"/>
      <c r="AN4" s="1828"/>
      <c r="AO4" s="1828"/>
      <c r="AP4" s="1829"/>
      <c r="AQ4" s="1830"/>
      <c r="AR4" s="1830"/>
      <c r="AS4" s="1830"/>
      <c r="AT4" s="1830"/>
      <c r="AU4" s="1830"/>
      <c r="AV4" s="1097"/>
      <c r="AW4" s="1097"/>
      <c r="AX4" s="1811" t="s">
        <v>1926</v>
      </c>
      <c r="AY4" s="1812"/>
      <c r="AZ4" s="1812"/>
      <c r="BA4" s="1813"/>
      <c r="BB4" s="1222">
        <f t="array" ref="BB4">ROUNDDOWN(SUM(IF((B19:I27&gt;0)*(B19:I27&lt;=30%),J19:O27,0))/J29,2)</f>
        <v>0.51</v>
      </c>
      <c r="BC4" s="1223"/>
      <c r="BD4" s="1223"/>
      <c r="BE4" s="1224"/>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8" t="s">
        <v>1927</v>
      </c>
      <c r="AG5" s="1828"/>
      <c r="AH5" s="1828"/>
      <c r="AI5" s="1828"/>
      <c r="AJ5" s="1828"/>
      <c r="AK5" s="1828"/>
      <c r="AL5" s="1828"/>
      <c r="AM5" s="1828"/>
      <c r="AN5" s="1828"/>
      <c r="AO5" s="1828"/>
      <c r="AP5" s="1829"/>
      <c r="AQ5" s="1830"/>
      <c r="AR5" s="1830"/>
      <c r="AS5" s="1830"/>
      <c r="AT5" s="1830"/>
      <c r="AU5" s="1830"/>
      <c r="AV5" s="1097"/>
      <c r="AW5" s="1097"/>
      <c r="AX5" s="1811" t="s">
        <v>1928</v>
      </c>
      <c r="AY5" s="1812"/>
      <c r="AZ5" s="1812"/>
      <c r="BA5" s="1813"/>
      <c r="BB5" s="1222">
        <f t="array" ref="BB5">ROUNDDOWN(SUM(IF((B19:I27&gt;0%)*(B19:I27&lt;=50%),J19:O27,0))/J29,2)</f>
        <v>0.75</v>
      </c>
      <c r="BC5" s="1223"/>
      <c r="BD5" s="1223"/>
      <c r="BE5" s="1224"/>
    </row>
    <row r="6" spans="1:65" ht="15.75" customHeight="1" thickBot="1">
      <c r="A6" s="1096"/>
      <c r="B6" s="1098" t="s">
        <v>1929</v>
      </c>
      <c r="C6" s="1097"/>
      <c r="D6" s="1097"/>
      <c r="E6" s="1097"/>
      <c r="F6" s="1097"/>
      <c r="G6" s="1097"/>
      <c r="H6" s="1097"/>
      <c r="I6" s="1097"/>
      <c r="J6" s="1097"/>
      <c r="K6" s="1097"/>
      <c r="L6" s="1814" t="str">
        <f>IF(Application!H16="","",Application!H16)</f>
        <v>Greenfield EAH II, L.P.</v>
      </c>
      <c r="M6" s="1815"/>
      <c r="N6" s="1815"/>
      <c r="O6" s="1815"/>
      <c r="P6" s="1815"/>
      <c r="Q6" s="1815"/>
      <c r="R6" s="1815"/>
      <c r="S6" s="1815"/>
      <c r="T6" s="1815"/>
      <c r="U6" s="1815"/>
      <c r="V6" s="1815"/>
      <c r="W6" s="1815"/>
      <c r="X6" s="1815"/>
      <c r="Y6" s="1815"/>
      <c r="Z6" s="1815"/>
      <c r="AA6" s="1815"/>
      <c r="AB6" s="1815"/>
      <c r="AC6" s="1816"/>
      <c r="AD6" s="1097"/>
      <c r="AE6" s="1097"/>
      <c r="AF6" s="1817" t="s">
        <v>1930</v>
      </c>
      <c r="AG6" s="1817"/>
      <c r="AH6" s="1817"/>
      <c r="AI6" s="1817"/>
      <c r="AJ6" s="1817"/>
      <c r="AK6" s="1817"/>
      <c r="AL6" s="1817"/>
      <c r="AM6" s="1817"/>
      <c r="AN6" s="1817"/>
      <c r="AO6" s="1817"/>
      <c r="AP6" s="1818"/>
      <c r="AQ6" s="1818"/>
      <c r="AR6" s="1818"/>
      <c r="AS6" s="1818"/>
      <c r="AT6" s="1818"/>
      <c r="AU6" s="1818"/>
      <c r="AV6" s="1097"/>
      <c r="AW6" s="1097"/>
      <c r="AX6" s="1811" t="s">
        <v>1931</v>
      </c>
      <c r="AY6" s="1812"/>
      <c r="AZ6" s="1812"/>
      <c r="BA6" s="1813"/>
      <c r="BB6" s="1222">
        <f t="array" ref="BB6">ROUNDDOWN(SUM(IF((B19:I27&gt;60%)*(B19:I27&lt;=80%),J19:O27,0))/J29,2)</f>
        <v>0.13</v>
      </c>
      <c r="BC6" s="1223"/>
      <c r="BD6" s="1223"/>
      <c r="BE6" s="1224"/>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7" t="s">
        <v>1932</v>
      </c>
      <c r="AG7" s="1817"/>
      <c r="AH7" s="1817"/>
      <c r="AI7" s="1817"/>
      <c r="AJ7" s="1817"/>
      <c r="AK7" s="1817"/>
      <c r="AL7" s="1817"/>
      <c r="AM7" s="1817"/>
      <c r="AN7" s="1817"/>
      <c r="AO7" s="1817"/>
      <c r="AP7" s="1818"/>
      <c r="AQ7" s="1818"/>
      <c r="AR7" s="1818"/>
      <c r="AS7" s="1818"/>
      <c r="AT7" s="1818"/>
      <c r="AU7" s="1818"/>
      <c r="AV7" s="1097"/>
      <c r="AW7" s="1097"/>
      <c r="AX7" s="1097"/>
      <c r="AY7" s="1097"/>
      <c r="AZ7" s="1097"/>
      <c r="BA7" s="1097"/>
      <c r="BB7" s="1097"/>
      <c r="BC7" s="1097"/>
      <c r="BD7" s="1097"/>
      <c r="BE7" s="1099"/>
    </row>
    <row r="8" spans="1:65" thickBot="1">
      <c r="A8" s="1096"/>
      <c r="B8" s="1098" t="s">
        <v>1933</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1" t="str">
        <f>Application!T197</f>
        <v>No</v>
      </c>
      <c r="AC8" s="1832"/>
      <c r="AD8" s="1833"/>
      <c r="AE8" s="1097"/>
      <c r="AF8" s="1817" t="s">
        <v>1934</v>
      </c>
      <c r="AG8" s="1817"/>
      <c r="AH8" s="1817"/>
      <c r="AI8" s="1817"/>
      <c r="AJ8" s="1817"/>
      <c r="AK8" s="1817"/>
      <c r="AL8" s="1817"/>
      <c r="AM8" s="1817"/>
      <c r="AN8" s="1817"/>
      <c r="AO8" s="1817"/>
      <c r="AP8" s="1818" t="s">
        <v>693</v>
      </c>
      <c r="AQ8" s="1818"/>
      <c r="AR8" s="1818"/>
      <c r="AS8" s="1818"/>
      <c r="AT8" s="1818"/>
      <c r="AU8" s="1818"/>
      <c r="AV8" s="1097"/>
      <c r="AW8" s="1097"/>
      <c r="AX8" s="1097"/>
      <c r="AY8" s="1097"/>
      <c r="AZ8" s="1097"/>
      <c r="BA8" s="1097"/>
      <c r="BB8" s="1097"/>
      <c r="BC8" s="1097"/>
      <c r="BD8" s="1097"/>
      <c r="BE8" s="1099"/>
      <c r="BM8" s="1093" t="s">
        <v>1935</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8" t="s">
        <v>1936</v>
      </c>
      <c r="AG9" s="1828"/>
      <c r="AH9" s="1828"/>
      <c r="AI9" s="1828"/>
      <c r="AJ9" s="1828"/>
      <c r="AK9" s="1828"/>
      <c r="AL9" s="1828"/>
      <c r="AM9" s="1828"/>
      <c r="AN9" s="1828"/>
      <c r="AO9" s="1828"/>
      <c r="AP9" s="1829"/>
      <c r="AQ9" s="1830"/>
      <c r="AR9" s="1830"/>
      <c r="AS9" s="1830"/>
      <c r="AT9" s="1830"/>
      <c r="AU9" s="1830"/>
      <c r="AV9" s="1097"/>
      <c r="AW9" s="1097"/>
      <c r="AX9" s="1097"/>
      <c r="AY9" s="1097"/>
      <c r="AZ9" s="1097"/>
      <c r="BA9" s="1097"/>
      <c r="BB9" s="1097"/>
      <c r="BC9" s="1097"/>
      <c r="BD9" s="1097"/>
      <c r="BE9" s="1099"/>
      <c r="BM9" s="1093" t="s">
        <v>1937</v>
      </c>
    </row>
    <row r="10" spans="1:65" ht="15">
      <c r="A10" s="1096"/>
      <c r="B10" s="1098" t="s">
        <v>1938</v>
      </c>
      <c r="C10" s="1098"/>
      <c r="D10" s="1098"/>
      <c r="E10" s="1098"/>
      <c r="F10" s="1098"/>
      <c r="G10" s="1098"/>
      <c r="H10" s="1098"/>
      <c r="I10" s="1098"/>
      <c r="J10" s="1098"/>
      <c r="K10" s="1098"/>
      <c r="L10" s="1098"/>
      <c r="M10" s="1097"/>
      <c r="N10" s="1846">
        <f>Application!AO635</f>
        <v>12420000</v>
      </c>
      <c r="O10" s="1846"/>
      <c r="P10" s="1846"/>
      <c r="Q10" s="1846"/>
      <c r="R10" s="1846"/>
      <c r="S10" s="1846"/>
      <c r="T10" s="1846"/>
      <c r="U10" s="1097"/>
      <c r="V10" s="1097"/>
      <c r="W10" s="1097"/>
      <c r="X10" s="1100"/>
      <c r="Y10" s="1100"/>
      <c r="Z10" s="1100"/>
      <c r="AA10" s="1100"/>
      <c r="AB10" s="1100"/>
      <c r="AC10" s="1100"/>
      <c r="AD10" s="1100"/>
      <c r="AE10" s="1100"/>
      <c r="AF10" s="1828" t="s">
        <v>1939</v>
      </c>
      <c r="AG10" s="1828"/>
      <c r="AH10" s="1828"/>
      <c r="AI10" s="1828"/>
      <c r="AJ10" s="1828"/>
      <c r="AK10" s="1828"/>
      <c r="AL10" s="1828"/>
      <c r="AM10" s="1828"/>
      <c r="AN10" s="1828"/>
      <c r="AO10" s="1828"/>
      <c r="AP10" s="1829"/>
      <c r="AQ10" s="1830"/>
      <c r="AR10" s="1830"/>
      <c r="AS10" s="1830"/>
      <c r="AT10" s="1830"/>
      <c r="AU10" s="1830"/>
      <c r="AV10" s="1100"/>
      <c r="AW10" s="1100"/>
      <c r="AX10" s="1097"/>
      <c r="AY10" s="1097"/>
      <c r="AZ10" s="1097"/>
      <c r="BA10" s="1097"/>
      <c r="BB10" s="1097"/>
      <c r="BC10" s="1097"/>
      <c r="BD10" s="1097"/>
      <c r="BE10" s="1099"/>
      <c r="BM10" s="1093" t="s">
        <v>1940</v>
      </c>
    </row>
    <row r="11" spans="1:65" ht="15">
      <c r="A11" s="1096"/>
      <c r="B11" s="1098" t="s">
        <v>1941</v>
      </c>
      <c r="C11" s="1098"/>
      <c r="D11" s="1098"/>
      <c r="E11" s="1098"/>
      <c r="F11" s="1098"/>
      <c r="G11" s="1098"/>
      <c r="H11" s="1098"/>
      <c r="I11" s="1098"/>
      <c r="J11" s="1098"/>
      <c r="K11" s="1098"/>
      <c r="L11" s="1098"/>
      <c r="M11" s="1097"/>
      <c r="N11" s="1846">
        <f>Application!AA943</f>
        <v>0</v>
      </c>
      <c r="O11" s="1846"/>
      <c r="P11" s="1846"/>
      <c r="Q11" s="1846"/>
      <c r="R11" s="1846"/>
      <c r="S11" s="1846"/>
      <c r="T11" s="1846"/>
      <c r="U11" s="1097"/>
      <c r="V11" s="1097"/>
      <c r="W11" s="1097"/>
      <c r="X11" s="1100"/>
      <c r="Y11" s="1100"/>
      <c r="Z11" s="1100"/>
      <c r="AA11" s="1100"/>
      <c r="AB11" s="1100"/>
      <c r="AC11" s="1100"/>
      <c r="AD11" s="1100"/>
      <c r="AE11" s="1100"/>
      <c r="AF11" s="1828" t="s">
        <v>1942</v>
      </c>
      <c r="AG11" s="1828"/>
      <c r="AH11" s="1828"/>
      <c r="AI11" s="1828"/>
      <c r="AJ11" s="1828"/>
      <c r="AK11" s="1828"/>
      <c r="AL11" s="1828"/>
      <c r="AM11" s="1828"/>
      <c r="AN11" s="1828"/>
      <c r="AO11" s="1828"/>
      <c r="AP11" s="1829"/>
      <c r="AQ11" s="1830"/>
      <c r="AR11" s="1830"/>
      <c r="AS11" s="1830"/>
      <c r="AT11" s="1830"/>
      <c r="AU11" s="1830"/>
      <c r="AV11" s="1100"/>
      <c r="AW11" s="1100"/>
      <c r="AX11" s="1097"/>
      <c r="AY11" s="1097"/>
      <c r="AZ11" s="1097"/>
      <c r="BA11" s="1097"/>
      <c r="BB11" s="1097"/>
      <c r="BC11" s="1097"/>
      <c r="BD11" s="1097"/>
      <c r="BE11" s="1099"/>
      <c r="BM11" s="1093" t="s">
        <v>693</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1943</v>
      </c>
    </row>
    <row r="13" spans="1:65" thickBot="1">
      <c r="A13" s="1097"/>
      <c r="B13" s="1834" t="s">
        <v>1944</v>
      </c>
      <c r="C13" s="1835"/>
      <c r="D13" s="1835"/>
      <c r="E13" s="1835"/>
      <c r="F13" s="1835"/>
      <c r="G13" s="1835"/>
      <c r="H13" s="1835"/>
      <c r="I13" s="1835"/>
      <c r="J13" s="1835"/>
      <c r="K13" s="1835"/>
      <c r="L13" s="1835"/>
      <c r="M13" s="1835"/>
      <c r="N13" s="1835"/>
      <c r="O13" s="1835"/>
      <c r="P13" s="1836"/>
      <c r="Q13" s="1837" t="s">
        <v>701</v>
      </c>
      <c r="R13" s="1838"/>
      <c r="S13" s="1838"/>
      <c r="T13" s="1839"/>
      <c r="U13" s="1100"/>
      <c r="V13" s="1097"/>
      <c r="W13" s="1097"/>
      <c r="X13" s="1097"/>
      <c r="Y13" s="1097"/>
      <c r="Z13" s="1097"/>
      <c r="AA13" s="1840" t="s">
        <v>1945</v>
      </c>
      <c r="AB13" s="1840"/>
      <c r="AC13" s="1840"/>
      <c r="AD13" s="1840"/>
      <c r="AE13" s="1840"/>
      <c r="AF13" s="1840"/>
      <c r="AG13" s="1840"/>
      <c r="AH13" s="1840"/>
      <c r="AI13" s="1840"/>
      <c r="AJ13" s="1840"/>
      <c r="AK13" s="1840"/>
      <c r="AL13" s="1840"/>
      <c r="AM13" s="1840"/>
      <c r="AN13" s="1840"/>
      <c r="AO13" s="1841">
        <f>Application!W481</f>
        <v>0</v>
      </c>
      <c r="AP13" s="1842"/>
      <c r="AQ13" s="1842"/>
      <c r="AR13" s="1842"/>
      <c r="AS13" s="1842"/>
      <c r="AT13" s="1100"/>
      <c r="AU13" s="1100"/>
      <c r="AV13" s="1100"/>
      <c r="AW13" s="1100"/>
      <c r="AX13" s="1100"/>
      <c r="AY13" s="1100"/>
      <c r="AZ13" s="1100"/>
      <c r="BA13" s="1100"/>
      <c r="BB13" s="1100"/>
      <c r="BC13" s="1100"/>
      <c r="BD13" s="1100"/>
      <c r="BE13" s="1101"/>
      <c r="BM13" s="1093" t="s">
        <v>1946</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3" t="s">
        <v>1947</v>
      </c>
      <c r="AB14" s="1843"/>
      <c r="AC14" s="1843"/>
      <c r="AD14" s="1843"/>
      <c r="AE14" s="1843"/>
      <c r="AF14" s="1843"/>
      <c r="AG14" s="1843"/>
      <c r="AH14" s="1843"/>
      <c r="AI14" s="1843"/>
      <c r="AJ14" s="1843"/>
      <c r="AK14" s="1843"/>
      <c r="AL14" s="1843"/>
      <c r="AM14" s="1843"/>
      <c r="AN14" s="1843"/>
      <c r="AO14" s="1844"/>
      <c r="AP14" s="1845"/>
      <c r="AQ14" s="1845"/>
      <c r="AR14" s="1845"/>
      <c r="AS14" s="1845"/>
      <c r="AT14" s="1100"/>
      <c r="AU14" s="1100"/>
      <c r="AV14" s="1100"/>
      <c r="AW14" s="1100"/>
      <c r="AX14" s="1100"/>
      <c r="AY14" s="1100"/>
      <c r="AZ14" s="1100"/>
      <c r="BA14" s="1100"/>
      <c r="BB14" s="1100"/>
      <c r="BC14" s="1100"/>
      <c r="BD14" s="1100"/>
      <c r="BE14" s="1101"/>
    </row>
    <row r="15" spans="1:65" thickBot="1">
      <c r="A15" s="1097"/>
      <c r="B15" s="1847" t="s">
        <v>1948</v>
      </c>
      <c r="C15" s="1848"/>
      <c r="D15" s="1848"/>
      <c r="E15" s="1848"/>
      <c r="F15" s="1848"/>
      <c r="G15" s="1848"/>
      <c r="H15" s="1848"/>
      <c r="I15" s="1848"/>
      <c r="J15" s="1848"/>
      <c r="K15" s="1848"/>
      <c r="L15" s="1848"/>
      <c r="M15" s="1848"/>
      <c r="N15" s="1848"/>
      <c r="O15" s="1848"/>
      <c r="P15" s="1848"/>
      <c r="Q15" s="1848"/>
      <c r="R15" s="1849"/>
      <c r="S15" s="1850" t="str">
        <f>IF(Application!AB215="","",Application!AB215)</f>
        <v/>
      </c>
      <c r="T15" s="1850"/>
      <c r="U15" s="1850"/>
      <c r="V15" s="1850"/>
      <c r="W15" s="1851"/>
      <c r="X15" s="1100"/>
      <c r="Y15" s="1097"/>
      <c r="Z15" s="1097"/>
      <c r="AA15" s="1840" t="s">
        <v>1949</v>
      </c>
      <c r="AB15" s="1840"/>
      <c r="AC15" s="1840"/>
      <c r="AD15" s="1840"/>
      <c r="AE15" s="1840"/>
      <c r="AF15" s="1840"/>
      <c r="AG15" s="1840"/>
      <c r="AH15" s="1840"/>
      <c r="AI15" s="1840"/>
      <c r="AJ15" s="1840"/>
      <c r="AK15" s="1840"/>
      <c r="AL15" s="1840"/>
      <c r="AM15" s="1840"/>
      <c r="AN15" s="1840"/>
      <c r="AO15" s="1844"/>
      <c r="AP15" s="1845"/>
      <c r="AQ15" s="1845"/>
      <c r="AR15" s="1845"/>
      <c r="AS15" s="1845"/>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2" t="s">
        <v>1950</v>
      </c>
      <c r="C17" s="1853"/>
      <c r="D17" s="1853"/>
      <c r="E17" s="1853"/>
      <c r="F17" s="1853"/>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853"/>
      <c r="AS17" s="1853"/>
      <c r="AT17" s="1853"/>
      <c r="AU17" s="1853"/>
      <c r="AV17" s="1853"/>
      <c r="AW17" s="1853"/>
      <c r="AX17" s="1853"/>
      <c r="AY17" s="1854"/>
      <c r="AZ17" s="1097"/>
      <c r="BA17" s="1097"/>
      <c r="BB17" s="1097"/>
      <c r="BC17" s="1097"/>
      <c r="BD17" s="1097"/>
      <c r="BE17" s="1101"/>
      <c r="BF17" s="1095"/>
    </row>
    <row r="18" spans="1:58" ht="15.75" customHeight="1">
      <c r="A18" s="1097"/>
      <c r="B18" s="1855" t="s">
        <v>1951</v>
      </c>
      <c r="C18" s="1856"/>
      <c r="D18" s="1856"/>
      <c r="E18" s="1856"/>
      <c r="F18" s="1856"/>
      <c r="G18" s="1856"/>
      <c r="H18" s="1856"/>
      <c r="I18" s="1857"/>
      <c r="J18" s="1858" t="s">
        <v>1952</v>
      </c>
      <c r="K18" s="1859"/>
      <c r="L18" s="1859"/>
      <c r="M18" s="1859"/>
      <c r="N18" s="1859"/>
      <c r="O18" s="1860"/>
      <c r="P18" s="1858" t="s">
        <v>846</v>
      </c>
      <c r="Q18" s="1859"/>
      <c r="R18" s="1859"/>
      <c r="S18" s="1859"/>
      <c r="T18" s="1859"/>
      <c r="U18" s="1860"/>
      <c r="V18" s="1858" t="s">
        <v>847</v>
      </c>
      <c r="W18" s="1859"/>
      <c r="X18" s="1859"/>
      <c r="Y18" s="1859"/>
      <c r="Z18" s="1859"/>
      <c r="AA18" s="1860"/>
      <c r="AB18" s="1858" t="s">
        <v>848</v>
      </c>
      <c r="AC18" s="1859"/>
      <c r="AD18" s="1859"/>
      <c r="AE18" s="1859"/>
      <c r="AF18" s="1859"/>
      <c r="AG18" s="1860"/>
      <c r="AH18" s="1858" t="s">
        <v>849</v>
      </c>
      <c r="AI18" s="1859"/>
      <c r="AJ18" s="1859"/>
      <c r="AK18" s="1859"/>
      <c r="AL18" s="1859"/>
      <c r="AM18" s="1860"/>
      <c r="AN18" s="1858" t="s">
        <v>850</v>
      </c>
      <c r="AO18" s="1859"/>
      <c r="AP18" s="1859"/>
      <c r="AQ18" s="1859"/>
      <c r="AR18" s="1859"/>
      <c r="AS18" s="1860"/>
      <c r="AT18" s="1858" t="s">
        <v>1953</v>
      </c>
      <c r="AU18" s="1859"/>
      <c r="AV18" s="1859"/>
      <c r="AW18" s="1859"/>
      <c r="AX18" s="1859"/>
      <c r="AY18" s="1861"/>
      <c r="AZ18" s="1097"/>
      <c r="BA18" s="1097"/>
      <c r="BB18" s="1097"/>
      <c r="BC18" s="1097"/>
      <c r="BD18" s="1097"/>
      <c r="BE18" s="1101"/>
    </row>
    <row r="19" spans="1:58" ht="15">
      <c r="A19" s="1097"/>
      <c r="B19" s="1862">
        <v>0.3</v>
      </c>
      <c r="C19" s="1863"/>
      <c r="D19" s="1863"/>
      <c r="E19" s="1863"/>
      <c r="F19" s="1863"/>
      <c r="G19" s="1863"/>
      <c r="H19" s="1863"/>
      <c r="I19" s="1864"/>
      <c r="J19" s="1865">
        <f t="shared" ref="J19:J24" si="0">SUM(P19:AS19)</f>
        <v>51</v>
      </c>
      <c r="K19" s="1866"/>
      <c r="L19" s="1866"/>
      <c r="M19" s="1866"/>
      <c r="N19" s="1866"/>
      <c r="O19" s="1867"/>
      <c r="P19" s="1865" cm="1">
        <f t="array" ref="P19">SUMPRODUCT((Application!$B$726:$B$760 = 'CalHFA Addendum'!P$18)*(Application!$AC$726:$AC$760 = 'CalHFA Addendum'!$B19),Application!$G$726:$G$760)</f>
        <v>0</v>
      </c>
      <c r="Q19" s="1866"/>
      <c r="R19" s="1866"/>
      <c r="S19" s="1866"/>
      <c r="T19" s="1866"/>
      <c r="U19" s="1867"/>
      <c r="V19" s="1865" cm="1">
        <f t="array" ref="V19">SUMPRODUCT((Application!$B$726:$B$760 = 'CalHFA Addendum'!V$18)*(Application!$AC$726:$AC$760 = 'CalHFA Addendum'!$B19),Application!$G$726:$G$760)</f>
        <v>25</v>
      </c>
      <c r="W19" s="1866"/>
      <c r="X19" s="1866"/>
      <c r="Y19" s="1866"/>
      <c r="Z19" s="1866"/>
      <c r="AA19" s="1867"/>
      <c r="AB19" s="1865" cm="1">
        <f t="array" ref="AB19">SUMPRODUCT((Application!$B$726:$B$760 = 'CalHFA Addendum'!AB$18)*(Application!$AC$726:$AC$760 = 'CalHFA Addendum'!$B19),Application!$G$726:$G$760)</f>
        <v>15</v>
      </c>
      <c r="AC19" s="1866"/>
      <c r="AD19" s="1866"/>
      <c r="AE19" s="1866"/>
      <c r="AF19" s="1866"/>
      <c r="AG19" s="1867"/>
      <c r="AH19" s="1865" cm="1">
        <f t="array" ref="AH19">SUMPRODUCT((Application!$B$726:$B$760 = 'CalHFA Addendum'!AH$18)*(Application!$AC$726:$AC$760 = 'CalHFA Addendum'!$B19),Application!$G$726:$G$760)</f>
        <v>11</v>
      </c>
      <c r="AI19" s="1866"/>
      <c r="AJ19" s="1866"/>
      <c r="AK19" s="1866"/>
      <c r="AL19" s="1866"/>
      <c r="AM19" s="1867"/>
      <c r="AN19" s="1865" cm="1">
        <f t="array" ref="AN19">SUMPRODUCT((Application!$B$726:$B$760 = 'CalHFA Addendum'!AN$18)*(Application!$AC$726:$AC$760 = 'CalHFA Addendum'!$B19),Application!$G$726:$G$760)</f>
        <v>0</v>
      </c>
      <c r="AO19" s="1866"/>
      <c r="AP19" s="1866"/>
      <c r="AQ19" s="1866"/>
      <c r="AR19" s="1866"/>
      <c r="AS19" s="1867"/>
      <c r="AT19" s="1868">
        <f>J19/$J$29</f>
        <v>0.51</v>
      </c>
      <c r="AU19" s="1869"/>
      <c r="AV19" s="1869"/>
      <c r="AW19" s="1869"/>
      <c r="AX19" s="1869"/>
      <c r="AY19" s="1870"/>
      <c r="AZ19" s="1102"/>
      <c r="BA19" s="1097"/>
      <c r="BB19" s="1097"/>
      <c r="BC19" s="1097"/>
      <c r="BD19" s="1097"/>
      <c r="BE19" s="1101"/>
    </row>
    <row r="20" spans="1:58" ht="15" customHeight="1">
      <c r="A20" s="1097"/>
      <c r="B20" s="1862">
        <v>0.4</v>
      </c>
      <c r="C20" s="1863"/>
      <c r="D20" s="1863"/>
      <c r="E20" s="1863"/>
      <c r="F20" s="1863"/>
      <c r="G20" s="1863"/>
      <c r="H20" s="1863"/>
      <c r="I20" s="1864"/>
      <c r="J20" s="1865">
        <f t="shared" si="0"/>
        <v>0</v>
      </c>
      <c r="K20" s="1866"/>
      <c r="L20" s="1866"/>
      <c r="M20" s="1866"/>
      <c r="N20" s="1866"/>
      <c r="O20" s="1867"/>
      <c r="P20" s="1865" cm="1">
        <f t="array" ref="P20">SUMPRODUCT((Application!$B$726:$B$760 = 'CalHFA Addendum'!P$18)*(Application!$AC$726:$AC$760 = 'CalHFA Addendum'!$B20),Application!$G$726:$G$760)</f>
        <v>0</v>
      </c>
      <c r="Q20" s="1866"/>
      <c r="R20" s="1866"/>
      <c r="S20" s="1866"/>
      <c r="T20" s="1866"/>
      <c r="U20" s="1867"/>
      <c r="V20" s="1865" cm="1">
        <f t="array" ref="V20">SUMPRODUCT((Application!$B$726:$B$760 = 'CalHFA Addendum'!V$18)*(Application!$AC$726:$AC$760 = 'CalHFA Addendum'!$B20),Application!$G$726:$G$760)</f>
        <v>0</v>
      </c>
      <c r="W20" s="1866"/>
      <c r="X20" s="1866"/>
      <c r="Y20" s="1866"/>
      <c r="Z20" s="1866"/>
      <c r="AA20" s="1867"/>
      <c r="AB20" s="1865" cm="1">
        <f t="array" ref="AB20">SUMPRODUCT((Application!$B$726:$B$760 = 'CalHFA Addendum'!AB$18)*(Application!$AC$726:$AC$760 = 'CalHFA Addendum'!$B20),Application!$G$726:$G$760)</f>
        <v>0</v>
      </c>
      <c r="AC20" s="1866"/>
      <c r="AD20" s="1866"/>
      <c r="AE20" s="1866"/>
      <c r="AF20" s="1866"/>
      <c r="AG20" s="1867"/>
      <c r="AH20" s="1865" cm="1">
        <f t="array" ref="AH20">SUMPRODUCT((Application!$B$726:$B$760 = 'CalHFA Addendum'!AH$18)*(Application!$AC$726:$AC$760 = 'CalHFA Addendum'!$B20),Application!$G$726:$G$760)</f>
        <v>0</v>
      </c>
      <c r="AI20" s="1866"/>
      <c r="AJ20" s="1866"/>
      <c r="AK20" s="1866"/>
      <c r="AL20" s="1866"/>
      <c r="AM20" s="1867"/>
      <c r="AN20" s="1865" cm="1">
        <f t="array" ref="AN20">SUMPRODUCT((Application!$B$726:$B$760 = 'CalHFA Addendum'!AN$18)*(Application!$AC$726:$AC$760 = 'CalHFA Addendum'!$B20),Application!$G$726:$G$760)</f>
        <v>0</v>
      </c>
      <c r="AO20" s="1866"/>
      <c r="AP20" s="1866"/>
      <c r="AQ20" s="1866"/>
      <c r="AR20" s="1866"/>
      <c r="AS20" s="1867"/>
      <c r="AT20" s="1868">
        <f t="shared" ref="AT20:AT29" si="1">J20/$J$29</f>
        <v>0</v>
      </c>
      <c r="AU20" s="1869"/>
      <c r="AV20" s="1869"/>
      <c r="AW20" s="1869"/>
      <c r="AX20" s="1869"/>
      <c r="AY20" s="1870"/>
      <c r="AZ20" s="1097"/>
      <c r="BA20" s="1097"/>
      <c r="BB20" s="1097"/>
      <c r="BC20" s="1097"/>
      <c r="BD20" s="1097"/>
      <c r="BE20" s="1101"/>
    </row>
    <row r="21" spans="1:58" ht="15">
      <c r="A21" s="1097"/>
      <c r="B21" s="1862">
        <v>0.5</v>
      </c>
      <c r="C21" s="1863"/>
      <c r="D21" s="1863"/>
      <c r="E21" s="1863"/>
      <c r="F21" s="1863"/>
      <c r="G21" s="1863"/>
      <c r="H21" s="1863"/>
      <c r="I21" s="1864"/>
      <c r="J21" s="1865">
        <f t="shared" si="0"/>
        <v>24</v>
      </c>
      <c r="K21" s="1866"/>
      <c r="L21" s="1866"/>
      <c r="M21" s="1866"/>
      <c r="N21" s="1866"/>
      <c r="O21" s="1867"/>
      <c r="P21" s="1865" cm="1">
        <f t="array" ref="P21">SUMPRODUCT((Application!$B$726:$B$760 = 'CalHFA Addendum'!P$18)*(Application!$AC$726:$AC$760 = 'CalHFA Addendum'!$B21),Application!$G$726:$G$760)</f>
        <v>0</v>
      </c>
      <c r="Q21" s="1866"/>
      <c r="R21" s="1866"/>
      <c r="S21" s="1866"/>
      <c r="T21" s="1866"/>
      <c r="U21" s="1867"/>
      <c r="V21" s="1865" cm="1">
        <f t="array" ref="V21">SUMPRODUCT((Application!$B$726:$B$760 = 'CalHFA Addendum'!V$18)*(Application!$AC$726:$AC$760 = 'CalHFA Addendum'!$B21),Application!$G$726:$G$760)</f>
        <v>17</v>
      </c>
      <c r="W21" s="1866"/>
      <c r="X21" s="1866"/>
      <c r="Y21" s="1866"/>
      <c r="Z21" s="1866"/>
      <c r="AA21" s="1867"/>
      <c r="AB21" s="1865" cm="1">
        <f t="array" ref="AB21">SUMPRODUCT((Application!$B$726:$B$760 = 'CalHFA Addendum'!AB$18)*(Application!$AC$726:$AC$760 = 'CalHFA Addendum'!$B21),Application!$G$726:$G$760)</f>
        <v>2</v>
      </c>
      <c r="AC21" s="1866"/>
      <c r="AD21" s="1866"/>
      <c r="AE21" s="1866"/>
      <c r="AF21" s="1866"/>
      <c r="AG21" s="1867"/>
      <c r="AH21" s="1865" cm="1">
        <f t="array" ref="AH21">SUMPRODUCT((Application!$B$726:$B$760 = 'CalHFA Addendum'!AH$18)*(Application!$AC$726:$AC$760 = 'CalHFA Addendum'!$B21),Application!$G$726:$G$760)</f>
        <v>5</v>
      </c>
      <c r="AI21" s="1866"/>
      <c r="AJ21" s="1866"/>
      <c r="AK21" s="1866"/>
      <c r="AL21" s="1866"/>
      <c r="AM21" s="1867"/>
      <c r="AN21" s="1865" cm="1">
        <f t="array" ref="AN21">SUMPRODUCT((Application!$B$726:$B$760 = 'CalHFA Addendum'!AN$18)*(Application!$AC$726:$AC$760 = 'CalHFA Addendum'!$B21),Application!$G$726:$G$760)</f>
        <v>0</v>
      </c>
      <c r="AO21" s="1866"/>
      <c r="AP21" s="1866"/>
      <c r="AQ21" s="1866"/>
      <c r="AR21" s="1866"/>
      <c r="AS21" s="1867"/>
      <c r="AT21" s="1868">
        <f t="shared" si="1"/>
        <v>0.24</v>
      </c>
      <c r="AU21" s="1869"/>
      <c r="AV21" s="1869"/>
      <c r="AW21" s="1869"/>
      <c r="AX21" s="1869"/>
      <c r="AY21" s="1870"/>
      <c r="AZ21" s="1097"/>
      <c r="BA21" s="1097"/>
      <c r="BB21" s="1097"/>
      <c r="BC21" s="1097"/>
      <c r="BD21" s="1097"/>
      <c r="BE21" s="1101"/>
    </row>
    <row r="22" spans="1:58" ht="15">
      <c r="A22" s="1097"/>
      <c r="B22" s="1862">
        <v>0.6</v>
      </c>
      <c r="C22" s="1863"/>
      <c r="D22" s="1863"/>
      <c r="E22" s="1863"/>
      <c r="F22" s="1863"/>
      <c r="G22" s="1863"/>
      <c r="H22" s="1863"/>
      <c r="I22" s="1864"/>
      <c r="J22" s="1865">
        <f t="shared" si="0"/>
        <v>11</v>
      </c>
      <c r="K22" s="1866"/>
      <c r="L22" s="1866"/>
      <c r="M22" s="1866"/>
      <c r="N22" s="1866"/>
      <c r="O22" s="1867"/>
      <c r="P22" s="1865" cm="1">
        <f t="array" ref="P22">SUMPRODUCT((Application!$B$726:$B$760 = 'CalHFA Addendum'!P$18)*(Application!$AC$726:$AC$760 = 'CalHFA Addendum'!$B22),Application!$G$726:$G$760)</f>
        <v>0</v>
      </c>
      <c r="Q22" s="1866"/>
      <c r="R22" s="1866"/>
      <c r="S22" s="1866"/>
      <c r="T22" s="1866"/>
      <c r="U22" s="1867"/>
      <c r="V22" s="1865" cm="1">
        <f t="array" ref="V22">SUMPRODUCT((Application!$B$726:$B$760 = 'CalHFA Addendum'!V$18)*(Application!$AC$726:$AC$760 = 'CalHFA Addendum'!$B22),Application!$G$726:$G$760)</f>
        <v>0</v>
      </c>
      <c r="W22" s="1866"/>
      <c r="X22" s="1866"/>
      <c r="Y22" s="1866"/>
      <c r="Z22" s="1866"/>
      <c r="AA22" s="1867"/>
      <c r="AB22" s="1865" cm="1">
        <f t="array" ref="AB22">SUMPRODUCT((Application!$B$726:$B$760 = 'CalHFA Addendum'!AB$18)*(Application!$AC$726:$AC$760 = 'CalHFA Addendum'!$B22),Application!$G$726:$G$760)</f>
        <v>7</v>
      </c>
      <c r="AC22" s="1866"/>
      <c r="AD22" s="1866"/>
      <c r="AE22" s="1866"/>
      <c r="AF22" s="1866"/>
      <c r="AG22" s="1867"/>
      <c r="AH22" s="1865" cm="1">
        <f t="array" ref="AH22">SUMPRODUCT((Application!$B$726:$B$760 = 'CalHFA Addendum'!AH$18)*(Application!$AC$726:$AC$760 = 'CalHFA Addendum'!$B22),Application!$G$726:$G$760)</f>
        <v>4</v>
      </c>
      <c r="AI22" s="1866"/>
      <c r="AJ22" s="1866"/>
      <c r="AK22" s="1866"/>
      <c r="AL22" s="1866"/>
      <c r="AM22" s="1867"/>
      <c r="AN22" s="1865" cm="1">
        <f t="array" ref="AN22">SUMPRODUCT((Application!$B$726:$B$760 = 'CalHFA Addendum'!AN$18)*(Application!$AC$726:$AC$760 = 'CalHFA Addendum'!$B22),Application!$G$726:$G$760)</f>
        <v>0</v>
      </c>
      <c r="AO22" s="1866"/>
      <c r="AP22" s="1866"/>
      <c r="AQ22" s="1866"/>
      <c r="AR22" s="1866"/>
      <c r="AS22" s="1867"/>
      <c r="AT22" s="1868">
        <f t="shared" si="1"/>
        <v>0.11</v>
      </c>
      <c r="AU22" s="1869"/>
      <c r="AV22" s="1869"/>
      <c r="AW22" s="1869"/>
      <c r="AX22" s="1869"/>
      <c r="AY22" s="1870"/>
      <c r="AZ22" s="1097"/>
      <c r="BA22" s="1097"/>
      <c r="BB22" s="1097"/>
      <c r="BC22" s="1097"/>
      <c r="BD22" s="1097"/>
      <c r="BE22" s="1101"/>
    </row>
    <row r="23" spans="1:58" ht="15">
      <c r="A23" s="1097"/>
      <c r="B23" s="1862">
        <v>0.7</v>
      </c>
      <c r="C23" s="1863"/>
      <c r="D23" s="1863"/>
      <c r="E23" s="1863"/>
      <c r="F23" s="1863"/>
      <c r="G23" s="1863"/>
      <c r="H23" s="1863"/>
      <c r="I23" s="1864"/>
      <c r="J23" s="1865">
        <f t="shared" si="0"/>
        <v>13</v>
      </c>
      <c r="K23" s="1866"/>
      <c r="L23" s="1866"/>
      <c r="M23" s="1866"/>
      <c r="N23" s="1866"/>
      <c r="O23" s="1867"/>
      <c r="P23" s="1865" cm="1">
        <f t="array" ref="P23">SUMPRODUCT((Application!$B$726:$B$760 = 'CalHFA Addendum'!P$18)*(Application!$AC$726:$AC$760 = 'CalHFA Addendum'!$B23),Application!$G$726:$G$760)</f>
        <v>0</v>
      </c>
      <c r="Q23" s="1866"/>
      <c r="R23" s="1866"/>
      <c r="S23" s="1866"/>
      <c r="T23" s="1866"/>
      <c r="U23" s="1867"/>
      <c r="V23" s="1865" cm="1">
        <f t="array" ref="V23">SUMPRODUCT((Application!$B$726:$B$760 = 'CalHFA Addendum'!V$18)*(Application!$AC$726:$AC$760 = 'CalHFA Addendum'!$B23),Application!$G$726:$G$760)</f>
        <v>0</v>
      </c>
      <c r="W23" s="1866"/>
      <c r="X23" s="1866"/>
      <c r="Y23" s="1866"/>
      <c r="Z23" s="1866"/>
      <c r="AA23" s="1867"/>
      <c r="AB23" s="1865" cm="1">
        <f t="array" ref="AB23">SUMPRODUCT((Application!$B$726:$B$760 = 'CalHFA Addendum'!AB$18)*(Application!$AC$726:$AC$760 = 'CalHFA Addendum'!$B23),Application!$G$726:$G$760)</f>
        <v>7</v>
      </c>
      <c r="AC23" s="1866"/>
      <c r="AD23" s="1866"/>
      <c r="AE23" s="1866"/>
      <c r="AF23" s="1866"/>
      <c r="AG23" s="1867"/>
      <c r="AH23" s="1865" cm="1">
        <f t="array" ref="AH23">SUMPRODUCT((Application!$B$726:$B$760 = 'CalHFA Addendum'!AH$18)*(Application!$AC$726:$AC$760 = 'CalHFA Addendum'!$B23),Application!$G$726:$G$760)</f>
        <v>6</v>
      </c>
      <c r="AI23" s="1866"/>
      <c r="AJ23" s="1866"/>
      <c r="AK23" s="1866"/>
      <c r="AL23" s="1866"/>
      <c r="AM23" s="1867"/>
      <c r="AN23" s="1865" cm="1">
        <f t="array" ref="AN23">SUMPRODUCT((Application!$B$726:$B$760 = 'CalHFA Addendum'!AN$18)*(Application!$AC$726:$AC$760 = 'CalHFA Addendum'!$B23),Application!$G$726:$G$760)</f>
        <v>0</v>
      </c>
      <c r="AO23" s="1866"/>
      <c r="AP23" s="1866"/>
      <c r="AQ23" s="1866"/>
      <c r="AR23" s="1866"/>
      <c r="AS23" s="1867"/>
      <c r="AT23" s="1868">
        <f t="shared" si="1"/>
        <v>0.13</v>
      </c>
      <c r="AU23" s="1869"/>
      <c r="AV23" s="1869"/>
      <c r="AW23" s="1869"/>
      <c r="AX23" s="1869"/>
      <c r="AY23" s="1870"/>
      <c r="AZ23" s="1097"/>
      <c r="BA23" s="1097"/>
      <c r="BB23" s="1097"/>
      <c r="BC23" s="1097"/>
      <c r="BD23" s="1097"/>
      <c r="BE23" s="1101"/>
    </row>
    <row r="24" spans="1:58" ht="15">
      <c r="A24" s="1097"/>
      <c r="B24" s="1862">
        <v>0.8</v>
      </c>
      <c r="C24" s="1863"/>
      <c r="D24" s="1863"/>
      <c r="E24" s="1863"/>
      <c r="F24" s="1863"/>
      <c r="G24" s="1863"/>
      <c r="H24" s="1863"/>
      <c r="I24" s="1864"/>
      <c r="J24" s="1865">
        <f t="shared" si="0"/>
        <v>0</v>
      </c>
      <c r="K24" s="1866"/>
      <c r="L24" s="1866"/>
      <c r="M24" s="1866"/>
      <c r="N24" s="1866"/>
      <c r="O24" s="1867"/>
      <c r="P24" s="1865" cm="1">
        <f t="array" ref="P24">SUMPRODUCT((Application!$B$726:$B$760 = 'CalHFA Addendum'!P$18)*(Application!$AC$726:$AC$760 = 'CalHFA Addendum'!$B24),Application!$G$726:$G$760)</f>
        <v>0</v>
      </c>
      <c r="Q24" s="1866"/>
      <c r="R24" s="1866"/>
      <c r="S24" s="1866"/>
      <c r="T24" s="1866"/>
      <c r="U24" s="1867"/>
      <c r="V24" s="1865" cm="1">
        <f t="array" ref="V24">SUMPRODUCT((Application!$B$726:$B$760 = 'CalHFA Addendum'!V$18)*(Application!$AC$726:$AC$760 = 'CalHFA Addendum'!$B24),Application!$G$726:$G$760)</f>
        <v>0</v>
      </c>
      <c r="W24" s="1866"/>
      <c r="X24" s="1866"/>
      <c r="Y24" s="1866"/>
      <c r="Z24" s="1866"/>
      <c r="AA24" s="1867"/>
      <c r="AB24" s="1865" cm="1">
        <f t="array" ref="AB24">SUMPRODUCT((Application!$B$726:$B$760 = 'CalHFA Addendum'!AB$18)*(Application!$AC$726:$AC$760 = 'CalHFA Addendum'!$B24),Application!$G$726:$G$760)</f>
        <v>0</v>
      </c>
      <c r="AC24" s="1866"/>
      <c r="AD24" s="1866"/>
      <c r="AE24" s="1866"/>
      <c r="AF24" s="1866"/>
      <c r="AG24" s="1867"/>
      <c r="AH24" s="1865" cm="1">
        <f t="array" ref="AH24">SUMPRODUCT((Application!$B$726:$B$760 = 'CalHFA Addendum'!AH$18)*(Application!$AC$726:$AC$760 = 'CalHFA Addendum'!$B24),Application!$G$726:$G$760)</f>
        <v>0</v>
      </c>
      <c r="AI24" s="1866"/>
      <c r="AJ24" s="1866"/>
      <c r="AK24" s="1866"/>
      <c r="AL24" s="1866"/>
      <c r="AM24" s="1867"/>
      <c r="AN24" s="1865" cm="1">
        <f t="array" ref="AN24">SUMPRODUCT((Application!$B$726:$B$760 = 'CalHFA Addendum'!AN$18)*(Application!$AC$726:$AC$760 = 'CalHFA Addendum'!$B24),Application!$G$726:$G$760)</f>
        <v>0</v>
      </c>
      <c r="AO24" s="1866"/>
      <c r="AP24" s="1866"/>
      <c r="AQ24" s="1866"/>
      <c r="AR24" s="1866"/>
      <c r="AS24" s="1867"/>
      <c r="AT24" s="1868">
        <f t="shared" si="1"/>
        <v>0</v>
      </c>
      <c r="AU24" s="1869"/>
      <c r="AV24" s="1869"/>
      <c r="AW24" s="1869"/>
      <c r="AX24" s="1869"/>
      <c r="AY24" s="1870"/>
      <c r="AZ24" s="1097"/>
      <c r="BA24" s="1097"/>
      <c r="BB24" s="1097"/>
      <c r="BC24" s="1097"/>
      <c r="BD24" s="1097"/>
      <c r="BE24" s="1101"/>
    </row>
    <row r="25" spans="1:58" ht="15">
      <c r="A25" s="1097"/>
      <c r="B25" s="1862">
        <v>0.9</v>
      </c>
      <c r="C25" s="1863"/>
      <c r="D25" s="1863"/>
      <c r="E25" s="1863"/>
      <c r="F25" s="1863"/>
      <c r="G25" s="1863"/>
      <c r="H25" s="1863"/>
      <c r="I25" s="1864"/>
      <c r="J25" s="1871"/>
      <c r="K25" s="1872"/>
      <c r="L25" s="1872"/>
      <c r="M25" s="1872"/>
      <c r="N25" s="1872"/>
      <c r="O25" s="1873"/>
      <c r="P25" s="1871"/>
      <c r="Q25" s="1872"/>
      <c r="R25" s="1872"/>
      <c r="S25" s="1872"/>
      <c r="T25" s="1872"/>
      <c r="U25" s="1873"/>
      <c r="V25" s="1871"/>
      <c r="W25" s="1872"/>
      <c r="X25" s="1872"/>
      <c r="Y25" s="1872"/>
      <c r="Z25" s="1872"/>
      <c r="AA25" s="1873"/>
      <c r="AB25" s="1871"/>
      <c r="AC25" s="1872"/>
      <c r="AD25" s="1872"/>
      <c r="AE25" s="1872"/>
      <c r="AF25" s="1872"/>
      <c r="AG25" s="1873"/>
      <c r="AH25" s="1871"/>
      <c r="AI25" s="1872"/>
      <c r="AJ25" s="1872"/>
      <c r="AK25" s="1872"/>
      <c r="AL25" s="1872"/>
      <c r="AM25" s="1873"/>
      <c r="AN25" s="1871"/>
      <c r="AO25" s="1872"/>
      <c r="AP25" s="1872"/>
      <c r="AQ25" s="1872"/>
      <c r="AR25" s="1872"/>
      <c r="AS25" s="1873"/>
      <c r="AT25" s="1868">
        <f t="shared" si="1"/>
        <v>0</v>
      </c>
      <c r="AU25" s="1869"/>
      <c r="AV25" s="1869"/>
      <c r="AW25" s="1869"/>
      <c r="AX25" s="1869"/>
      <c r="AY25" s="1870"/>
      <c r="AZ25" s="1097"/>
      <c r="BA25" s="1097"/>
      <c r="BB25" s="1097"/>
      <c r="BC25" s="1097"/>
      <c r="BD25" s="1097"/>
      <c r="BE25" s="1101"/>
    </row>
    <row r="26" spans="1:58" ht="15">
      <c r="A26" s="1097"/>
      <c r="B26" s="1862">
        <v>1</v>
      </c>
      <c r="C26" s="1863"/>
      <c r="D26" s="1863"/>
      <c r="E26" s="1863"/>
      <c r="F26" s="1863"/>
      <c r="G26" s="1863"/>
      <c r="H26" s="1863"/>
      <c r="I26" s="1864"/>
      <c r="J26" s="1871"/>
      <c r="K26" s="1872"/>
      <c r="L26" s="1872"/>
      <c r="M26" s="1872"/>
      <c r="N26" s="1872"/>
      <c r="O26" s="1873"/>
      <c r="P26" s="1871"/>
      <c r="Q26" s="1872"/>
      <c r="R26" s="1872"/>
      <c r="S26" s="1872"/>
      <c r="T26" s="1872"/>
      <c r="U26" s="1873"/>
      <c r="V26" s="1871"/>
      <c r="W26" s="1872"/>
      <c r="X26" s="1872"/>
      <c r="Y26" s="1872"/>
      <c r="Z26" s="1872"/>
      <c r="AA26" s="1873"/>
      <c r="AB26" s="1871"/>
      <c r="AC26" s="1872"/>
      <c r="AD26" s="1872"/>
      <c r="AE26" s="1872"/>
      <c r="AF26" s="1872"/>
      <c r="AG26" s="1873"/>
      <c r="AH26" s="1871"/>
      <c r="AI26" s="1872"/>
      <c r="AJ26" s="1872"/>
      <c r="AK26" s="1872"/>
      <c r="AL26" s="1872"/>
      <c r="AM26" s="1873"/>
      <c r="AN26" s="1871"/>
      <c r="AO26" s="1872"/>
      <c r="AP26" s="1872"/>
      <c r="AQ26" s="1872"/>
      <c r="AR26" s="1872"/>
      <c r="AS26" s="1873"/>
      <c r="AT26" s="1868">
        <f t="shared" si="1"/>
        <v>0</v>
      </c>
      <c r="AU26" s="1869"/>
      <c r="AV26" s="1869"/>
      <c r="AW26" s="1869"/>
      <c r="AX26" s="1869"/>
      <c r="AY26" s="1870"/>
      <c r="AZ26" s="1097"/>
      <c r="BA26" s="1097"/>
      <c r="BB26" s="1097"/>
      <c r="BC26" s="1097"/>
      <c r="BD26" s="1097"/>
      <c r="BE26" s="1101"/>
    </row>
    <row r="27" spans="1:58" ht="15">
      <c r="A27" s="1097"/>
      <c r="B27" s="1862">
        <v>1.2</v>
      </c>
      <c r="C27" s="1863"/>
      <c r="D27" s="1863"/>
      <c r="E27" s="1863"/>
      <c r="F27" s="1863"/>
      <c r="G27" s="1863"/>
      <c r="H27" s="1863"/>
      <c r="I27" s="1864"/>
      <c r="J27" s="1871"/>
      <c r="K27" s="1872"/>
      <c r="L27" s="1872"/>
      <c r="M27" s="1872"/>
      <c r="N27" s="1872"/>
      <c r="O27" s="1873"/>
      <c r="P27" s="1871"/>
      <c r="Q27" s="1872"/>
      <c r="R27" s="1872"/>
      <c r="S27" s="1872"/>
      <c r="T27" s="1872"/>
      <c r="U27" s="1873"/>
      <c r="V27" s="1871"/>
      <c r="W27" s="1872"/>
      <c r="X27" s="1872"/>
      <c r="Y27" s="1872"/>
      <c r="Z27" s="1872"/>
      <c r="AA27" s="1873"/>
      <c r="AB27" s="1871"/>
      <c r="AC27" s="1872"/>
      <c r="AD27" s="1872"/>
      <c r="AE27" s="1872"/>
      <c r="AF27" s="1872"/>
      <c r="AG27" s="1873"/>
      <c r="AH27" s="1871"/>
      <c r="AI27" s="1872"/>
      <c r="AJ27" s="1872"/>
      <c r="AK27" s="1872"/>
      <c r="AL27" s="1872"/>
      <c r="AM27" s="1873"/>
      <c r="AN27" s="1871"/>
      <c r="AO27" s="1872"/>
      <c r="AP27" s="1872"/>
      <c r="AQ27" s="1872"/>
      <c r="AR27" s="1872"/>
      <c r="AS27" s="1873"/>
      <c r="AT27" s="1868">
        <f t="shared" si="1"/>
        <v>0</v>
      </c>
      <c r="AU27" s="1869"/>
      <c r="AV27" s="1869"/>
      <c r="AW27" s="1869"/>
      <c r="AX27" s="1869"/>
      <c r="AY27" s="1870"/>
      <c r="AZ27" s="1097"/>
      <c r="BA27" s="1097"/>
      <c r="BB27" s="1097"/>
      <c r="BC27" s="1097"/>
      <c r="BD27" s="1097"/>
      <c r="BE27" s="1101"/>
    </row>
    <row r="28" spans="1:58" thickBot="1">
      <c r="A28" s="1097"/>
      <c r="B28" s="1874" t="s">
        <v>1954</v>
      </c>
      <c r="C28" s="1875"/>
      <c r="D28" s="1875"/>
      <c r="E28" s="1875"/>
      <c r="F28" s="1875"/>
      <c r="G28" s="1875"/>
      <c r="H28" s="1875"/>
      <c r="I28" s="1876"/>
      <c r="J28" s="1877">
        <f>SUM(P28:AS28)</f>
        <v>1</v>
      </c>
      <c r="K28" s="1878"/>
      <c r="L28" s="1878"/>
      <c r="M28" s="1878"/>
      <c r="N28" s="1878"/>
      <c r="O28" s="1879"/>
      <c r="P28" s="1877">
        <f>_xlfn.IFNA(VLOOKUP(P$18,Application!$J$781:$S$784,6,FALSE), 0)</f>
        <v>0</v>
      </c>
      <c r="Q28" s="1878"/>
      <c r="R28" s="1878"/>
      <c r="S28" s="1878"/>
      <c r="T28" s="1878"/>
      <c r="U28" s="1879"/>
      <c r="V28" s="1877">
        <f>_xlfn.IFNA(VLOOKUP(V$18,Application!$J$781:$S$784,6,FALSE), 0)</f>
        <v>0</v>
      </c>
      <c r="W28" s="1878"/>
      <c r="X28" s="1878"/>
      <c r="Y28" s="1878"/>
      <c r="Z28" s="1878"/>
      <c r="AA28" s="1879"/>
      <c r="AB28" s="1877">
        <f>_xlfn.IFNA(VLOOKUP(AB$18,Application!$J$781:$S$784,6,FALSE), 0)</f>
        <v>1</v>
      </c>
      <c r="AC28" s="1878"/>
      <c r="AD28" s="1878"/>
      <c r="AE28" s="1878"/>
      <c r="AF28" s="1878"/>
      <c r="AG28" s="1879"/>
      <c r="AH28" s="1877">
        <f>_xlfn.IFNA(VLOOKUP(AH$18,Application!$J$781:$S$784,6,FALSE), 0)</f>
        <v>0</v>
      </c>
      <c r="AI28" s="1878"/>
      <c r="AJ28" s="1878"/>
      <c r="AK28" s="1878"/>
      <c r="AL28" s="1878"/>
      <c r="AM28" s="1879"/>
      <c r="AN28" s="1877">
        <f>_xlfn.IFNA(VLOOKUP(AN$18,Application!$J$781:$S$784,6,FALSE), 0)</f>
        <v>0</v>
      </c>
      <c r="AO28" s="1878"/>
      <c r="AP28" s="1878"/>
      <c r="AQ28" s="1878"/>
      <c r="AR28" s="1878"/>
      <c r="AS28" s="1879"/>
      <c r="AT28" s="1880">
        <f t="shared" si="1"/>
        <v>0.01</v>
      </c>
      <c r="AU28" s="1881"/>
      <c r="AV28" s="1881"/>
      <c r="AW28" s="1881"/>
      <c r="AX28" s="1881"/>
      <c r="AY28" s="1882"/>
      <c r="AZ28" s="1097"/>
      <c r="BA28" s="1097"/>
      <c r="BB28" s="1097"/>
      <c r="BC28" s="1097"/>
      <c r="BD28" s="1097"/>
      <c r="BE28" s="1101"/>
    </row>
    <row r="29" spans="1:58" thickBot="1">
      <c r="A29" s="1097"/>
      <c r="B29" s="1911" t="s">
        <v>1952</v>
      </c>
      <c r="C29" s="1884"/>
      <c r="D29" s="1884"/>
      <c r="E29" s="1884"/>
      <c r="F29" s="1884"/>
      <c r="G29" s="1884"/>
      <c r="H29" s="1884"/>
      <c r="I29" s="1885"/>
      <c r="J29" s="1883">
        <f>SUM(J19:O28)</f>
        <v>100</v>
      </c>
      <c r="K29" s="1884"/>
      <c r="L29" s="1884"/>
      <c r="M29" s="1884"/>
      <c r="N29" s="1884"/>
      <c r="O29" s="1885"/>
      <c r="P29" s="1883">
        <f>SUM(P19:U28)</f>
        <v>0</v>
      </c>
      <c r="Q29" s="1884"/>
      <c r="R29" s="1884"/>
      <c r="S29" s="1884"/>
      <c r="T29" s="1884"/>
      <c r="U29" s="1885"/>
      <c r="V29" s="1883">
        <f>SUM(V19:AA28)</f>
        <v>42</v>
      </c>
      <c r="W29" s="1884"/>
      <c r="X29" s="1884"/>
      <c r="Y29" s="1884"/>
      <c r="Z29" s="1884"/>
      <c r="AA29" s="1885"/>
      <c r="AB29" s="1883">
        <f>SUM(AB19:AG28)</f>
        <v>32</v>
      </c>
      <c r="AC29" s="1884"/>
      <c r="AD29" s="1884"/>
      <c r="AE29" s="1884"/>
      <c r="AF29" s="1884"/>
      <c r="AG29" s="1885"/>
      <c r="AH29" s="1883">
        <f>SUM(AH19:AM28)</f>
        <v>26</v>
      </c>
      <c r="AI29" s="1884"/>
      <c r="AJ29" s="1884"/>
      <c r="AK29" s="1884"/>
      <c r="AL29" s="1884"/>
      <c r="AM29" s="1885"/>
      <c r="AN29" s="1883">
        <f>SUM(AN19:AS28)</f>
        <v>0</v>
      </c>
      <c r="AO29" s="1884"/>
      <c r="AP29" s="1884"/>
      <c r="AQ29" s="1884"/>
      <c r="AR29" s="1884"/>
      <c r="AS29" s="1885"/>
      <c r="AT29" s="1886">
        <f t="shared" si="1"/>
        <v>1</v>
      </c>
      <c r="AU29" s="1887"/>
      <c r="AV29" s="1887"/>
      <c r="AW29" s="1887"/>
      <c r="AX29" s="1887"/>
      <c r="AY29" s="1888"/>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89" t="s">
        <v>1955</v>
      </c>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c r="AC31" s="1890"/>
      <c r="AD31" s="1890"/>
      <c r="AE31" s="1890"/>
      <c r="AF31" s="1890"/>
      <c r="AG31" s="1890"/>
      <c r="AH31" s="1890"/>
      <c r="AI31" s="1890"/>
      <c r="AJ31" s="1890"/>
      <c r="AK31" s="1890"/>
      <c r="AL31" s="1890"/>
      <c r="AM31" s="1890"/>
      <c r="AN31" s="1890"/>
      <c r="AO31" s="1890"/>
      <c r="AP31" s="1890"/>
      <c r="AQ31" s="1890"/>
      <c r="AR31" s="1890"/>
      <c r="AS31" s="1890"/>
      <c r="AT31" s="1890"/>
      <c r="AU31" s="1890"/>
      <c r="AV31" s="1890"/>
      <c r="AW31" s="1890"/>
      <c r="AX31" s="1890"/>
      <c r="AY31" s="1890"/>
      <c r="AZ31" s="1890"/>
      <c r="BA31" s="1890"/>
      <c r="BB31" s="1890"/>
      <c r="BC31" s="1890"/>
      <c r="BD31" s="1891"/>
      <c r="BE31" s="1101"/>
    </row>
    <row r="32" spans="1:58" thickBot="1">
      <c r="A32" s="1097"/>
      <c r="B32" s="1892" t="s">
        <v>1956</v>
      </c>
      <c r="C32" s="1893"/>
      <c r="D32" s="1893"/>
      <c r="E32" s="1893"/>
      <c r="F32" s="1893"/>
      <c r="G32" s="1893"/>
      <c r="H32" s="1893"/>
      <c r="I32" s="1893"/>
      <c r="J32" s="1896" t="s">
        <v>1957</v>
      </c>
      <c r="K32" s="1897"/>
      <c r="L32" s="1897"/>
      <c r="M32" s="1897"/>
      <c r="N32" s="1896" t="s">
        <v>1958</v>
      </c>
      <c r="O32" s="1897"/>
      <c r="P32" s="1897"/>
      <c r="Q32" s="1899"/>
      <c r="R32" s="1901" t="s">
        <v>1959</v>
      </c>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3"/>
      <c r="BE32" s="1101"/>
    </row>
    <row r="33" spans="1:58" ht="15" customHeight="1">
      <c r="A33" s="1097"/>
      <c r="B33" s="1894"/>
      <c r="C33" s="1895"/>
      <c r="D33" s="1895"/>
      <c r="E33" s="1895"/>
      <c r="F33" s="1895"/>
      <c r="G33" s="1895"/>
      <c r="H33" s="1895"/>
      <c r="I33" s="1895"/>
      <c r="J33" s="1898"/>
      <c r="K33" s="1898"/>
      <c r="L33" s="1898"/>
      <c r="M33" s="1898"/>
      <c r="N33" s="1898"/>
      <c r="O33" s="1898"/>
      <c r="P33" s="1898"/>
      <c r="Q33" s="1900"/>
      <c r="R33" s="1904" t="s">
        <v>1960</v>
      </c>
      <c r="S33" s="1905"/>
      <c r="T33" s="1905"/>
      <c r="U33" s="1905"/>
      <c r="V33" s="1905"/>
      <c r="W33" s="1905"/>
      <c r="X33" s="1905"/>
      <c r="Y33" s="1905"/>
      <c r="Z33" s="1905"/>
      <c r="AA33" s="1905"/>
      <c r="AB33" s="1905"/>
      <c r="AC33" s="1905"/>
      <c r="AD33" s="1905"/>
      <c r="AE33" s="1905"/>
      <c r="AF33" s="1905"/>
      <c r="AG33" s="1905"/>
      <c r="AH33" s="1905"/>
      <c r="AI33" s="1905"/>
      <c r="AJ33" s="1905"/>
      <c r="AK33" s="1905"/>
      <c r="AL33" s="1905"/>
      <c r="AM33" s="1905"/>
      <c r="AN33" s="1905"/>
      <c r="AO33" s="1905"/>
      <c r="AP33" s="1905"/>
      <c r="AQ33" s="1905"/>
      <c r="AR33" s="1905"/>
      <c r="AS33" s="1905"/>
      <c r="AT33" s="1905"/>
      <c r="AU33" s="1905"/>
      <c r="AV33" s="1905"/>
      <c r="AW33" s="1905"/>
      <c r="AX33" s="1905"/>
      <c r="AY33" s="1905"/>
      <c r="AZ33" s="1905"/>
      <c r="BA33" s="1905"/>
      <c r="BB33" s="1905"/>
      <c r="BC33" s="1905"/>
      <c r="BD33" s="1906"/>
      <c r="BE33" s="1101"/>
    </row>
    <row r="34" spans="1:58" ht="15.75" customHeight="1" thickBot="1">
      <c r="A34" s="1097"/>
      <c r="B34" s="1894"/>
      <c r="C34" s="1895"/>
      <c r="D34" s="1895"/>
      <c r="E34" s="1895"/>
      <c r="F34" s="1895"/>
      <c r="G34" s="1895"/>
      <c r="H34" s="1895"/>
      <c r="I34" s="1895"/>
      <c r="J34" s="1898"/>
      <c r="K34" s="1898"/>
      <c r="L34" s="1898"/>
      <c r="M34" s="1898"/>
      <c r="N34" s="1898"/>
      <c r="O34" s="1898"/>
      <c r="P34" s="1898"/>
      <c r="Q34" s="1900"/>
      <c r="R34" s="1907"/>
      <c r="S34" s="1908"/>
      <c r="T34" s="1908"/>
      <c r="U34" s="1908"/>
      <c r="V34" s="1908"/>
      <c r="W34" s="1908"/>
      <c r="X34" s="1908"/>
      <c r="Y34" s="1908"/>
      <c r="Z34" s="1908"/>
      <c r="AA34" s="1908"/>
      <c r="AB34" s="1908"/>
      <c r="AC34" s="1908"/>
      <c r="AD34" s="1908"/>
      <c r="AE34" s="1908"/>
      <c r="AF34" s="1908"/>
      <c r="AG34" s="1908"/>
      <c r="AH34" s="1908"/>
      <c r="AI34" s="1908"/>
      <c r="AJ34" s="1908"/>
      <c r="AK34" s="1908"/>
      <c r="AL34" s="1908"/>
      <c r="AM34" s="1908"/>
      <c r="AN34" s="1908"/>
      <c r="AO34" s="1908"/>
      <c r="AP34" s="1908"/>
      <c r="AQ34" s="1908"/>
      <c r="AR34" s="1908"/>
      <c r="AS34" s="1908"/>
      <c r="AT34" s="1908"/>
      <c r="AU34" s="1908"/>
      <c r="AV34" s="1908"/>
      <c r="AW34" s="1908"/>
      <c r="AX34" s="1908"/>
      <c r="AY34" s="1908"/>
      <c r="AZ34" s="1908"/>
      <c r="BA34" s="1908"/>
      <c r="BB34" s="1908"/>
      <c r="BC34" s="1908"/>
      <c r="BD34" s="1909"/>
      <c r="BE34" s="1101"/>
    </row>
    <row r="35" spans="1:58" ht="15.75" customHeight="1">
      <c r="A35" s="1097"/>
      <c r="B35" s="1894"/>
      <c r="C35" s="1895"/>
      <c r="D35" s="1895"/>
      <c r="E35" s="1895"/>
      <c r="F35" s="1895"/>
      <c r="G35" s="1895"/>
      <c r="H35" s="1895"/>
      <c r="I35" s="1895"/>
      <c r="J35" s="1898"/>
      <c r="K35" s="1898"/>
      <c r="L35" s="1898"/>
      <c r="M35" s="1898"/>
      <c r="N35" s="1898"/>
      <c r="O35" s="1898"/>
      <c r="P35" s="1898"/>
      <c r="Q35" s="1898"/>
      <c r="R35" s="1910">
        <v>0.3</v>
      </c>
      <c r="S35" s="1910"/>
      <c r="T35" s="1910"/>
      <c r="U35" s="1910"/>
      <c r="V35" s="1910">
        <v>0.4</v>
      </c>
      <c r="W35" s="1910"/>
      <c r="X35" s="1910"/>
      <c r="Y35" s="1910"/>
      <c r="Z35" s="1910">
        <v>0.5</v>
      </c>
      <c r="AA35" s="1910"/>
      <c r="AB35" s="1910"/>
      <c r="AC35" s="1910"/>
      <c r="AD35" s="1910">
        <v>0.6</v>
      </c>
      <c r="AE35" s="1910"/>
      <c r="AF35" s="1910"/>
      <c r="AG35" s="1910"/>
      <c r="AH35" s="1910">
        <v>0.7</v>
      </c>
      <c r="AI35" s="1910"/>
      <c r="AJ35" s="1910"/>
      <c r="AK35" s="1910"/>
      <c r="AL35" s="1915">
        <v>0.8</v>
      </c>
      <c r="AM35" s="1916"/>
      <c r="AN35" s="1916"/>
      <c r="AO35" s="1917"/>
      <c r="AP35" s="1918">
        <v>1.2</v>
      </c>
      <c r="AQ35" s="1919"/>
      <c r="AR35" s="1920"/>
      <c r="AS35" s="1912" t="s">
        <v>1961</v>
      </c>
      <c r="AT35" s="1913"/>
      <c r="AU35" s="1913"/>
      <c r="AV35" s="1913"/>
      <c r="AW35" s="1913"/>
      <c r="AX35" s="1921"/>
      <c r="AY35" s="1912" t="s">
        <v>1962</v>
      </c>
      <c r="AZ35" s="1913"/>
      <c r="BA35" s="1913"/>
      <c r="BB35" s="1913"/>
      <c r="BC35" s="1913"/>
      <c r="BD35" s="1914"/>
      <c r="BE35" s="1101"/>
    </row>
    <row r="36" spans="1:58" ht="15.75" customHeight="1">
      <c r="A36" s="1097"/>
      <c r="B36" s="1931" t="s">
        <v>1963</v>
      </c>
      <c r="C36" s="1932"/>
      <c r="D36" s="1932"/>
      <c r="E36" s="1932"/>
      <c r="F36" s="1932"/>
      <c r="G36" s="1932"/>
      <c r="H36" s="1932"/>
      <c r="I36" s="1932"/>
      <c r="J36" s="1933" t="s">
        <v>1964</v>
      </c>
      <c r="K36" s="1933"/>
      <c r="L36" s="1933"/>
      <c r="M36" s="1933"/>
      <c r="N36" s="1933">
        <v>55</v>
      </c>
      <c r="O36" s="1933"/>
      <c r="P36" s="1933"/>
      <c r="Q36" s="1933"/>
      <c r="R36" s="1934"/>
      <c r="S36" s="1934"/>
      <c r="T36" s="1934"/>
      <c r="U36" s="1934"/>
      <c r="V36" s="1934"/>
      <c r="W36" s="1934"/>
      <c r="X36" s="1934"/>
      <c r="Y36" s="1934"/>
      <c r="Z36" s="1934"/>
      <c r="AA36" s="1934"/>
      <c r="AB36" s="1934"/>
      <c r="AC36" s="1934"/>
      <c r="AD36" s="1934"/>
      <c r="AE36" s="1934"/>
      <c r="AF36" s="1934"/>
      <c r="AG36" s="1934"/>
      <c r="AH36" s="1934"/>
      <c r="AI36" s="1934"/>
      <c r="AJ36" s="1934"/>
      <c r="AK36" s="1934"/>
      <c r="AL36" s="1922"/>
      <c r="AM36" s="1923"/>
      <c r="AN36" s="1923"/>
      <c r="AO36" s="1924"/>
      <c r="AP36" s="1922"/>
      <c r="AQ36" s="1923"/>
      <c r="AR36" s="1924"/>
      <c r="AS36" s="1925">
        <f t="shared" ref="AS36:AS47" si="2">SUM(R36:AR36)</f>
        <v>0</v>
      </c>
      <c r="AT36" s="1926"/>
      <c r="AU36" s="1926"/>
      <c r="AV36" s="1926"/>
      <c r="AW36" s="1926"/>
      <c r="AX36" s="1927"/>
      <c r="AY36" s="1928">
        <f t="shared" ref="AY36:AY47" si="3">AS36/$J$29</f>
        <v>0</v>
      </c>
      <c r="AZ36" s="1929"/>
      <c r="BA36" s="1929"/>
      <c r="BB36" s="1929"/>
      <c r="BC36" s="1929"/>
      <c r="BD36" s="1930"/>
      <c r="BE36" s="1101"/>
    </row>
    <row r="37" spans="1:58" ht="15.75" customHeight="1">
      <c r="A37" s="1097"/>
      <c r="B37" s="1931" t="s">
        <v>1965</v>
      </c>
      <c r="C37" s="1932"/>
      <c r="D37" s="1932"/>
      <c r="E37" s="1932"/>
      <c r="F37" s="1932"/>
      <c r="G37" s="1932"/>
      <c r="H37" s="1932"/>
      <c r="I37" s="1932"/>
      <c r="J37" s="1933" t="s">
        <v>1966</v>
      </c>
      <c r="K37" s="1933"/>
      <c r="L37" s="1933"/>
      <c r="M37" s="1933"/>
      <c r="N37" s="1933">
        <v>55</v>
      </c>
      <c r="O37" s="1933"/>
      <c r="P37" s="1933"/>
      <c r="Q37" s="1933"/>
      <c r="R37" s="1934"/>
      <c r="S37" s="1934"/>
      <c r="T37" s="1934"/>
      <c r="U37" s="1934"/>
      <c r="V37" s="1934"/>
      <c r="W37" s="1934"/>
      <c r="X37" s="1934"/>
      <c r="Y37" s="1934"/>
      <c r="Z37" s="1934"/>
      <c r="AA37" s="1934"/>
      <c r="AB37" s="1934"/>
      <c r="AC37" s="1934"/>
      <c r="AD37" s="1934"/>
      <c r="AE37" s="1934"/>
      <c r="AF37" s="1934"/>
      <c r="AG37" s="1934"/>
      <c r="AH37" s="1934"/>
      <c r="AI37" s="1934"/>
      <c r="AJ37" s="1934"/>
      <c r="AK37" s="1934"/>
      <c r="AL37" s="1922"/>
      <c r="AM37" s="1923"/>
      <c r="AN37" s="1923"/>
      <c r="AO37" s="1924"/>
      <c r="AP37" s="1922"/>
      <c r="AQ37" s="1923"/>
      <c r="AR37" s="1924"/>
      <c r="AS37" s="1925">
        <f t="shared" si="2"/>
        <v>0</v>
      </c>
      <c r="AT37" s="1926"/>
      <c r="AU37" s="1926"/>
      <c r="AV37" s="1926"/>
      <c r="AW37" s="1926"/>
      <c r="AX37" s="1927"/>
      <c r="AY37" s="1928">
        <f t="shared" si="3"/>
        <v>0</v>
      </c>
      <c r="AZ37" s="1929"/>
      <c r="BA37" s="1929"/>
      <c r="BB37" s="1929"/>
      <c r="BC37" s="1929"/>
      <c r="BD37" s="1930"/>
      <c r="BE37" s="1101"/>
    </row>
    <row r="38" spans="1:58" ht="15.75" customHeight="1">
      <c r="A38" s="1097"/>
      <c r="B38" s="1931" t="s">
        <v>1967</v>
      </c>
      <c r="C38" s="1932"/>
      <c r="D38" s="1932"/>
      <c r="E38" s="1932"/>
      <c r="F38" s="1932"/>
      <c r="G38" s="1932"/>
      <c r="H38" s="1932"/>
      <c r="I38" s="1932"/>
      <c r="J38" s="1933" t="s">
        <v>1968</v>
      </c>
      <c r="K38" s="1933"/>
      <c r="L38" s="1933"/>
      <c r="M38" s="1933"/>
      <c r="N38" s="1933">
        <v>55</v>
      </c>
      <c r="O38" s="1933"/>
      <c r="P38" s="1933"/>
      <c r="Q38" s="1933"/>
      <c r="R38" s="1934"/>
      <c r="S38" s="1934"/>
      <c r="T38" s="1934"/>
      <c r="U38" s="1934"/>
      <c r="V38" s="1934"/>
      <c r="W38" s="1934"/>
      <c r="X38" s="1934"/>
      <c r="Y38" s="1934"/>
      <c r="Z38" s="1934"/>
      <c r="AA38" s="1934"/>
      <c r="AB38" s="1934"/>
      <c r="AC38" s="1934"/>
      <c r="AD38" s="1934"/>
      <c r="AE38" s="1934"/>
      <c r="AF38" s="1934"/>
      <c r="AG38" s="1934"/>
      <c r="AH38" s="1934"/>
      <c r="AI38" s="1934"/>
      <c r="AJ38" s="1934"/>
      <c r="AK38" s="1934"/>
      <c r="AL38" s="1922"/>
      <c r="AM38" s="1923"/>
      <c r="AN38" s="1923"/>
      <c r="AO38" s="1924"/>
      <c r="AP38" s="1922"/>
      <c r="AQ38" s="1923"/>
      <c r="AR38" s="1924"/>
      <c r="AS38" s="1925">
        <f t="shared" si="2"/>
        <v>0</v>
      </c>
      <c r="AT38" s="1926"/>
      <c r="AU38" s="1926"/>
      <c r="AV38" s="1926"/>
      <c r="AW38" s="1926"/>
      <c r="AX38" s="1927"/>
      <c r="AY38" s="1928">
        <f t="shared" si="3"/>
        <v>0</v>
      </c>
      <c r="AZ38" s="1929"/>
      <c r="BA38" s="1929"/>
      <c r="BB38" s="1929"/>
      <c r="BC38" s="1929"/>
      <c r="BD38" s="1930"/>
      <c r="BE38" s="1101"/>
    </row>
    <row r="39" spans="1:58" ht="15.75" customHeight="1">
      <c r="A39" s="1097"/>
      <c r="B39" s="1931" t="s">
        <v>1969</v>
      </c>
      <c r="C39" s="1932"/>
      <c r="D39" s="1932"/>
      <c r="E39" s="1932"/>
      <c r="F39" s="1932"/>
      <c r="G39" s="1932"/>
      <c r="H39" s="1932"/>
      <c r="I39" s="1932"/>
      <c r="J39" s="1933"/>
      <c r="K39" s="1933"/>
      <c r="L39" s="1933"/>
      <c r="M39" s="1933"/>
      <c r="N39" s="1933"/>
      <c r="O39" s="1933"/>
      <c r="P39" s="1933"/>
      <c r="Q39" s="1933"/>
      <c r="R39" s="1934"/>
      <c r="S39" s="1934"/>
      <c r="T39" s="1934"/>
      <c r="U39" s="1934"/>
      <c r="V39" s="1934"/>
      <c r="W39" s="1934"/>
      <c r="X39" s="1934"/>
      <c r="Y39" s="1934"/>
      <c r="Z39" s="1934"/>
      <c r="AA39" s="1934"/>
      <c r="AB39" s="1934"/>
      <c r="AC39" s="1934"/>
      <c r="AD39" s="1934"/>
      <c r="AE39" s="1934"/>
      <c r="AF39" s="1934"/>
      <c r="AG39" s="1934"/>
      <c r="AH39" s="1934"/>
      <c r="AI39" s="1934"/>
      <c r="AJ39" s="1934"/>
      <c r="AK39" s="1934"/>
      <c r="AL39" s="1922"/>
      <c r="AM39" s="1923"/>
      <c r="AN39" s="1923"/>
      <c r="AO39" s="1924"/>
      <c r="AP39" s="1922"/>
      <c r="AQ39" s="1923"/>
      <c r="AR39" s="1924"/>
      <c r="AS39" s="1925">
        <f t="shared" si="2"/>
        <v>0</v>
      </c>
      <c r="AT39" s="1926"/>
      <c r="AU39" s="1926"/>
      <c r="AV39" s="1926"/>
      <c r="AW39" s="1926"/>
      <c r="AX39" s="1927"/>
      <c r="AY39" s="1928">
        <f t="shared" si="3"/>
        <v>0</v>
      </c>
      <c r="AZ39" s="1929"/>
      <c r="BA39" s="1929"/>
      <c r="BB39" s="1929"/>
      <c r="BC39" s="1929"/>
      <c r="BD39" s="1930"/>
      <c r="BE39" s="1101"/>
    </row>
    <row r="40" spans="1:58" ht="15.75" customHeight="1">
      <c r="A40" s="1097"/>
      <c r="B40" s="1931" t="s">
        <v>1969</v>
      </c>
      <c r="C40" s="1932"/>
      <c r="D40" s="1932"/>
      <c r="E40" s="1932"/>
      <c r="F40" s="1932"/>
      <c r="G40" s="1932"/>
      <c r="H40" s="1932"/>
      <c r="I40" s="1932"/>
      <c r="J40" s="1933"/>
      <c r="K40" s="1933"/>
      <c r="L40" s="1933"/>
      <c r="M40" s="1933"/>
      <c r="N40" s="1933"/>
      <c r="O40" s="1933"/>
      <c r="P40" s="1933"/>
      <c r="Q40" s="1933"/>
      <c r="R40" s="1934"/>
      <c r="S40" s="1934"/>
      <c r="T40" s="1934"/>
      <c r="U40" s="1934"/>
      <c r="V40" s="1934"/>
      <c r="W40" s="1934"/>
      <c r="X40" s="1934"/>
      <c r="Y40" s="1934"/>
      <c r="Z40" s="1934"/>
      <c r="AA40" s="1934"/>
      <c r="AB40" s="1934"/>
      <c r="AC40" s="1934"/>
      <c r="AD40" s="1934"/>
      <c r="AE40" s="1934"/>
      <c r="AF40" s="1934"/>
      <c r="AG40" s="1934"/>
      <c r="AH40" s="1934"/>
      <c r="AI40" s="1934"/>
      <c r="AJ40" s="1934"/>
      <c r="AK40" s="1934"/>
      <c r="AL40" s="1922"/>
      <c r="AM40" s="1923"/>
      <c r="AN40" s="1923"/>
      <c r="AO40" s="1924"/>
      <c r="AP40" s="1922"/>
      <c r="AQ40" s="1923"/>
      <c r="AR40" s="1924"/>
      <c r="AS40" s="1925">
        <f t="shared" si="2"/>
        <v>0</v>
      </c>
      <c r="AT40" s="1926"/>
      <c r="AU40" s="1926"/>
      <c r="AV40" s="1926"/>
      <c r="AW40" s="1926"/>
      <c r="AX40" s="1927"/>
      <c r="AY40" s="1928">
        <f t="shared" si="3"/>
        <v>0</v>
      </c>
      <c r="AZ40" s="1929"/>
      <c r="BA40" s="1929"/>
      <c r="BB40" s="1929"/>
      <c r="BC40" s="1929"/>
      <c r="BD40" s="1930"/>
      <c r="BE40" s="1101"/>
    </row>
    <row r="41" spans="1:58" ht="15.75" customHeight="1">
      <c r="A41" s="1097"/>
      <c r="B41" s="1931" t="s">
        <v>1970</v>
      </c>
      <c r="C41" s="1932"/>
      <c r="D41" s="1932"/>
      <c r="E41" s="1932"/>
      <c r="F41" s="1932"/>
      <c r="G41" s="1932"/>
      <c r="H41" s="1932"/>
      <c r="I41" s="1932"/>
      <c r="J41" s="1933"/>
      <c r="K41" s="1933"/>
      <c r="L41" s="1933"/>
      <c r="M41" s="1933"/>
      <c r="N41" s="1933"/>
      <c r="O41" s="1933"/>
      <c r="P41" s="1933"/>
      <c r="Q41" s="1933"/>
      <c r="R41" s="1934"/>
      <c r="S41" s="1934"/>
      <c r="T41" s="1934"/>
      <c r="U41" s="1934"/>
      <c r="V41" s="1934"/>
      <c r="W41" s="1934"/>
      <c r="X41" s="1934"/>
      <c r="Y41" s="1934"/>
      <c r="Z41" s="1934"/>
      <c r="AA41" s="1934"/>
      <c r="AB41" s="1934"/>
      <c r="AC41" s="1934"/>
      <c r="AD41" s="1934"/>
      <c r="AE41" s="1934"/>
      <c r="AF41" s="1934"/>
      <c r="AG41" s="1934"/>
      <c r="AH41" s="1934"/>
      <c r="AI41" s="1934"/>
      <c r="AJ41" s="1934"/>
      <c r="AK41" s="1934"/>
      <c r="AL41" s="1922"/>
      <c r="AM41" s="1923"/>
      <c r="AN41" s="1923"/>
      <c r="AO41" s="1924"/>
      <c r="AP41" s="1922"/>
      <c r="AQ41" s="1923"/>
      <c r="AR41" s="1924"/>
      <c r="AS41" s="1925">
        <f t="shared" si="2"/>
        <v>0</v>
      </c>
      <c r="AT41" s="1926"/>
      <c r="AU41" s="1926"/>
      <c r="AV41" s="1926"/>
      <c r="AW41" s="1926"/>
      <c r="AX41" s="1927"/>
      <c r="AY41" s="1928">
        <f t="shared" si="3"/>
        <v>0</v>
      </c>
      <c r="AZ41" s="1929"/>
      <c r="BA41" s="1929"/>
      <c r="BB41" s="1929"/>
      <c r="BC41" s="1929"/>
      <c r="BD41" s="1930"/>
      <c r="BE41" s="1101"/>
    </row>
    <row r="42" spans="1:58" ht="15.75" customHeight="1">
      <c r="A42" s="1097"/>
      <c r="B42" s="1931" t="s">
        <v>1970</v>
      </c>
      <c r="C42" s="1932"/>
      <c r="D42" s="1932"/>
      <c r="E42" s="1932"/>
      <c r="F42" s="1932"/>
      <c r="G42" s="1932"/>
      <c r="H42" s="1932"/>
      <c r="I42" s="1932"/>
      <c r="J42" s="1933"/>
      <c r="K42" s="1933"/>
      <c r="L42" s="1933"/>
      <c r="M42" s="1933"/>
      <c r="N42" s="1933"/>
      <c r="O42" s="1933"/>
      <c r="P42" s="1933"/>
      <c r="Q42" s="1933"/>
      <c r="R42" s="1934"/>
      <c r="S42" s="1934"/>
      <c r="T42" s="1934"/>
      <c r="U42" s="1934"/>
      <c r="V42" s="1934"/>
      <c r="W42" s="1934"/>
      <c r="X42" s="1934"/>
      <c r="Y42" s="1934"/>
      <c r="Z42" s="1934"/>
      <c r="AA42" s="1934"/>
      <c r="AB42" s="1934"/>
      <c r="AC42" s="1934"/>
      <c r="AD42" s="1934"/>
      <c r="AE42" s="1934"/>
      <c r="AF42" s="1934"/>
      <c r="AG42" s="1934"/>
      <c r="AH42" s="1934"/>
      <c r="AI42" s="1934"/>
      <c r="AJ42" s="1934"/>
      <c r="AK42" s="1934"/>
      <c r="AL42" s="1922"/>
      <c r="AM42" s="1923"/>
      <c r="AN42" s="1923"/>
      <c r="AO42" s="1924"/>
      <c r="AP42" s="1922"/>
      <c r="AQ42" s="1923"/>
      <c r="AR42" s="1924"/>
      <c r="AS42" s="1925">
        <f t="shared" si="2"/>
        <v>0</v>
      </c>
      <c r="AT42" s="1926"/>
      <c r="AU42" s="1926"/>
      <c r="AV42" s="1926"/>
      <c r="AW42" s="1926"/>
      <c r="AX42" s="1927"/>
      <c r="AY42" s="1928">
        <f t="shared" si="3"/>
        <v>0</v>
      </c>
      <c r="AZ42" s="1929"/>
      <c r="BA42" s="1929"/>
      <c r="BB42" s="1929"/>
      <c r="BC42" s="1929"/>
      <c r="BD42" s="1930"/>
      <c r="BE42" s="1101"/>
    </row>
    <row r="43" spans="1:58" ht="15.75" customHeight="1">
      <c r="A43" s="1097"/>
      <c r="B43" s="1935" t="s">
        <v>1971</v>
      </c>
      <c r="C43" s="1936"/>
      <c r="D43" s="1936"/>
      <c r="E43" s="1936"/>
      <c r="F43" s="1936"/>
      <c r="G43" s="1936"/>
      <c r="H43" s="1936"/>
      <c r="I43" s="1936"/>
      <c r="J43" s="1933"/>
      <c r="K43" s="1933"/>
      <c r="L43" s="1933"/>
      <c r="M43" s="1933"/>
      <c r="N43" s="1933"/>
      <c r="O43" s="1933"/>
      <c r="P43" s="1933"/>
      <c r="Q43" s="1933"/>
      <c r="R43" s="1934"/>
      <c r="S43" s="1934"/>
      <c r="T43" s="1934"/>
      <c r="U43" s="1934"/>
      <c r="V43" s="1934"/>
      <c r="W43" s="1934"/>
      <c r="X43" s="1934"/>
      <c r="Y43" s="1934"/>
      <c r="Z43" s="1934"/>
      <c r="AA43" s="1934"/>
      <c r="AB43" s="1934"/>
      <c r="AC43" s="1934"/>
      <c r="AD43" s="1934"/>
      <c r="AE43" s="1934"/>
      <c r="AF43" s="1934"/>
      <c r="AG43" s="1934"/>
      <c r="AH43" s="1934"/>
      <c r="AI43" s="1934"/>
      <c r="AJ43" s="1934"/>
      <c r="AK43" s="1934"/>
      <c r="AL43" s="1922"/>
      <c r="AM43" s="1923"/>
      <c r="AN43" s="1923"/>
      <c r="AO43" s="1924"/>
      <c r="AP43" s="1922"/>
      <c r="AQ43" s="1923"/>
      <c r="AR43" s="1924"/>
      <c r="AS43" s="1925">
        <f t="shared" si="2"/>
        <v>0</v>
      </c>
      <c r="AT43" s="1926"/>
      <c r="AU43" s="1926"/>
      <c r="AV43" s="1926"/>
      <c r="AW43" s="1926"/>
      <c r="AX43" s="1927"/>
      <c r="AY43" s="1928">
        <f t="shared" si="3"/>
        <v>0</v>
      </c>
      <c r="AZ43" s="1929"/>
      <c r="BA43" s="1929"/>
      <c r="BB43" s="1929"/>
      <c r="BC43" s="1929"/>
      <c r="BD43" s="1930"/>
      <c r="BE43" s="1101"/>
    </row>
    <row r="44" spans="1:58" ht="15.75" customHeight="1">
      <c r="A44" s="1097"/>
      <c r="B44" s="1935" t="s">
        <v>1972</v>
      </c>
      <c r="C44" s="1936"/>
      <c r="D44" s="1936"/>
      <c r="E44" s="1936"/>
      <c r="F44" s="1936"/>
      <c r="G44" s="1936"/>
      <c r="H44" s="1936"/>
      <c r="I44" s="1936"/>
      <c r="J44" s="1933"/>
      <c r="K44" s="1933"/>
      <c r="L44" s="1933"/>
      <c r="M44" s="1933"/>
      <c r="N44" s="1933"/>
      <c r="O44" s="1933"/>
      <c r="P44" s="1933"/>
      <c r="Q44" s="1933"/>
      <c r="R44" s="1934"/>
      <c r="S44" s="1934"/>
      <c r="T44" s="1934"/>
      <c r="U44" s="1934"/>
      <c r="V44" s="1934"/>
      <c r="W44" s="1934"/>
      <c r="X44" s="1934"/>
      <c r="Y44" s="1934"/>
      <c r="Z44" s="1934"/>
      <c r="AA44" s="1934"/>
      <c r="AB44" s="1934"/>
      <c r="AC44" s="1934"/>
      <c r="AD44" s="1934"/>
      <c r="AE44" s="1934"/>
      <c r="AF44" s="1934"/>
      <c r="AG44" s="1934"/>
      <c r="AH44" s="1934"/>
      <c r="AI44" s="1934"/>
      <c r="AJ44" s="1934"/>
      <c r="AK44" s="1934"/>
      <c r="AL44" s="1922"/>
      <c r="AM44" s="1923"/>
      <c r="AN44" s="1923"/>
      <c r="AO44" s="1924"/>
      <c r="AP44" s="1922"/>
      <c r="AQ44" s="1923"/>
      <c r="AR44" s="1924"/>
      <c r="AS44" s="1925">
        <f t="shared" si="2"/>
        <v>0</v>
      </c>
      <c r="AT44" s="1926"/>
      <c r="AU44" s="1926"/>
      <c r="AV44" s="1926"/>
      <c r="AW44" s="1926"/>
      <c r="AX44" s="1927"/>
      <c r="AY44" s="1928">
        <f t="shared" si="3"/>
        <v>0</v>
      </c>
      <c r="AZ44" s="1929"/>
      <c r="BA44" s="1929"/>
      <c r="BB44" s="1929"/>
      <c r="BC44" s="1929"/>
      <c r="BD44" s="1930"/>
      <c r="BE44" s="1101"/>
    </row>
    <row r="45" spans="1:58" ht="15.75" customHeight="1">
      <c r="A45" s="1097"/>
      <c r="B45" s="1935" t="s">
        <v>1973</v>
      </c>
      <c r="C45" s="1936"/>
      <c r="D45" s="1936"/>
      <c r="E45" s="1936"/>
      <c r="F45" s="1936"/>
      <c r="G45" s="1936"/>
      <c r="H45" s="1936"/>
      <c r="I45" s="1936"/>
      <c r="J45" s="1933"/>
      <c r="K45" s="1933"/>
      <c r="L45" s="1933"/>
      <c r="M45" s="1933"/>
      <c r="N45" s="1933"/>
      <c r="O45" s="1933"/>
      <c r="P45" s="1933"/>
      <c r="Q45" s="1933"/>
      <c r="R45" s="1934"/>
      <c r="S45" s="1934"/>
      <c r="T45" s="1934"/>
      <c r="U45" s="1934"/>
      <c r="V45" s="1934"/>
      <c r="W45" s="1934"/>
      <c r="X45" s="1934"/>
      <c r="Y45" s="1934"/>
      <c r="Z45" s="1934"/>
      <c r="AA45" s="1934"/>
      <c r="AB45" s="1934"/>
      <c r="AC45" s="1934"/>
      <c r="AD45" s="1934"/>
      <c r="AE45" s="1934"/>
      <c r="AF45" s="1934"/>
      <c r="AG45" s="1934"/>
      <c r="AH45" s="1934"/>
      <c r="AI45" s="1934"/>
      <c r="AJ45" s="1934"/>
      <c r="AK45" s="1934"/>
      <c r="AL45" s="1922"/>
      <c r="AM45" s="1923"/>
      <c r="AN45" s="1923"/>
      <c r="AO45" s="1924"/>
      <c r="AP45" s="1922"/>
      <c r="AQ45" s="1923"/>
      <c r="AR45" s="1924"/>
      <c r="AS45" s="1925">
        <f t="shared" si="2"/>
        <v>0</v>
      </c>
      <c r="AT45" s="1926"/>
      <c r="AU45" s="1926"/>
      <c r="AV45" s="1926"/>
      <c r="AW45" s="1926"/>
      <c r="AX45" s="1927"/>
      <c r="AY45" s="1928">
        <f t="shared" si="3"/>
        <v>0</v>
      </c>
      <c r="AZ45" s="1929"/>
      <c r="BA45" s="1929"/>
      <c r="BB45" s="1929"/>
      <c r="BC45" s="1929"/>
      <c r="BD45" s="1930"/>
      <c r="BE45" s="1101"/>
    </row>
    <row r="46" spans="1:58" ht="15.75" customHeight="1">
      <c r="A46" s="1097"/>
      <c r="B46" s="1935" t="s">
        <v>1974</v>
      </c>
      <c r="C46" s="1936"/>
      <c r="D46" s="1936"/>
      <c r="E46" s="1936"/>
      <c r="F46" s="1936"/>
      <c r="G46" s="1936"/>
      <c r="H46" s="1936"/>
      <c r="I46" s="1936"/>
      <c r="J46" s="1933"/>
      <c r="K46" s="1933"/>
      <c r="L46" s="1933"/>
      <c r="M46" s="1933"/>
      <c r="N46" s="1933">
        <v>99</v>
      </c>
      <c r="O46" s="1933"/>
      <c r="P46" s="1933"/>
      <c r="Q46" s="1933"/>
      <c r="R46" s="1934"/>
      <c r="S46" s="1934"/>
      <c r="T46" s="1934"/>
      <c r="U46" s="1934"/>
      <c r="V46" s="1934"/>
      <c r="W46" s="1934"/>
      <c r="X46" s="1934"/>
      <c r="Y46" s="1934"/>
      <c r="Z46" s="1934"/>
      <c r="AA46" s="1934"/>
      <c r="AB46" s="1934"/>
      <c r="AC46" s="1934"/>
      <c r="AD46" s="1934"/>
      <c r="AE46" s="1934"/>
      <c r="AF46" s="1934"/>
      <c r="AG46" s="1934"/>
      <c r="AH46" s="1934"/>
      <c r="AI46" s="1934"/>
      <c r="AJ46" s="1934"/>
      <c r="AK46" s="1934"/>
      <c r="AL46" s="1922"/>
      <c r="AM46" s="1923"/>
      <c r="AN46" s="1923"/>
      <c r="AO46" s="1924"/>
      <c r="AP46" s="1922"/>
      <c r="AQ46" s="1923"/>
      <c r="AR46" s="1924"/>
      <c r="AS46" s="1925">
        <f t="shared" si="2"/>
        <v>0</v>
      </c>
      <c r="AT46" s="1926"/>
      <c r="AU46" s="1926"/>
      <c r="AV46" s="1926"/>
      <c r="AW46" s="1926"/>
      <c r="AX46" s="1927"/>
      <c r="AY46" s="1928">
        <f t="shared" si="3"/>
        <v>0</v>
      </c>
      <c r="AZ46" s="1929"/>
      <c r="BA46" s="1929"/>
      <c r="BB46" s="1929"/>
      <c r="BC46" s="1929"/>
      <c r="BD46" s="1930"/>
      <c r="BE46" s="1101"/>
    </row>
    <row r="47" spans="1:58" ht="15.75" customHeight="1" thickBot="1">
      <c r="A47" s="1097"/>
      <c r="B47" s="1937" t="s">
        <v>1070</v>
      </c>
      <c r="C47" s="1938"/>
      <c r="D47" s="1938"/>
      <c r="E47" s="1938"/>
      <c r="F47" s="1938"/>
      <c r="G47" s="1938"/>
      <c r="H47" s="1938"/>
      <c r="I47" s="1938"/>
      <c r="J47" s="1939"/>
      <c r="K47" s="1939"/>
      <c r="L47" s="1939"/>
      <c r="M47" s="1939"/>
      <c r="N47" s="1939"/>
      <c r="O47" s="1939"/>
      <c r="P47" s="1939"/>
      <c r="Q47" s="1939"/>
      <c r="R47" s="1940"/>
      <c r="S47" s="1940"/>
      <c r="T47" s="1940"/>
      <c r="U47" s="1940"/>
      <c r="V47" s="1940"/>
      <c r="W47" s="1940"/>
      <c r="X47" s="1940"/>
      <c r="Y47" s="1940"/>
      <c r="Z47" s="1940"/>
      <c r="AA47" s="1940"/>
      <c r="AB47" s="1940"/>
      <c r="AC47" s="1940"/>
      <c r="AD47" s="1940"/>
      <c r="AE47" s="1940"/>
      <c r="AF47" s="1940"/>
      <c r="AG47" s="1940"/>
      <c r="AH47" s="1940"/>
      <c r="AI47" s="1940"/>
      <c r="AJ47" s="1940"/>
      <c r="AK47" s="1940"/>
      <c r="AL47" s="1944"/>
      <c r="AM47" s="1945"/>
      <c r="AN47" s="1945"/>
      <c r="AO47" s="1946"/>
      <c r="AP47" s="1944"/>
      <c r="AQ47" s="1945"/>
      <c r="AR47" s="1946"/>
      <c r="AS47" s="1925">
        <f t="shared" si="2"/>
        <v>0</v>
      </c>
      <c r="AT47" s="1926"/>
      <c r="AU47" s="1926"/>
      <c r="AV47" s="1926"/>
      <c r="AW47" s="1926"/>
      <c r="AX47" s="1927"/>
      <c r="AY47" s="1941">
        <f t="shared" si="3"/>
        <v>0</v>
      </c>
      <c r="AZ47" s="1942"/>
      <c r="BA47" s="1942"/>
      <c r="BB47" s="1942"/>
      <c r="BC47" s="1942"/>
      <c r="BD47" s="1943"/>
      <c r="BE47" s="1101"/>
    </row>
    <row r="48" spans="1:58" ht="15.75" customHeight="1">
      <c r="A48" s="1097"/>
      <c r="B48" s="1103" t="s">
        <v>1975</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1976</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7" t="s">
        <v>1977</v>
      </c>
      <c r="C50" s="1948"/>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c r="AB50" s="1948"/>
      <c r="AC50" s="1948"/>
      <c r="AD50" s="1948"/>
      <c r="AE50" s="1948"/>
      <c r="AF50" s="1948"/>
      <c r="AG50" s="1948"/>
      <c r="AH50" s="1948"/>
      <c r="AI50" s="1948"/>
      <c r="AJ50" s="1948"/>
      <c r="AK50" s="1948"/>
      <c r="AL50" s="1948"/>
      <c r="AM50" s="1948"/>
      <c r="AN50" s="1948"/>
      <c r="AO50" s="1949"/>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0" t="s">
        <v>1978</v>
      </c>
      <c r="C51" s="1951"/>
      <c r="D51" s="1951"/>
      <c r="E51" s="1951"/>
      <c r="F51" s="1951"/>
      <c r="G51" s="1951"/>
      <c r="H51" s="1951"/>
      <c r="I51" s="1951"/>
      <c r="J51" s="1951" t="s">
        <v>1979</v>
      </c>
      <c r="K51" s="1951"/>
      <c r="L51" s="1951"/>
      <c r="M51" s="1951"/>
      <c r="N51" s="1951"/>
      <c r="O51" s="1951"/>
      <c r="P51" s="1951"/>
      <c r="Q51" s="1951"/>
      <c r="R51" s="1952" t="s">
        <v>1980</v>
      </c>
      <c r="S51" s="1952"/>
      <c r="T51" s="1952"/>
      <c r="U51" s="1952"/>
      <c r="V51" s="1952"/>
      <c r="W51" s="1952"/>
      <c r="X51" s="1952"/>
      <c r="Y51" s="1952"/>
      <c r="Z51" s="1952" t="s">
        <v>1981</v>
      </c>
      <c r="AA51" s="1952"/>
      <c r="AB51" s="1952"/>
      <c r="AC51" s="1952"/>
      <c r="AD51" s="1952"/>
      <c r="AE51" s="1952"/>
      <c r="AF51" s="1952"/>
      <c r="AG51" s="1952"/>
      <c r="AH51" s="1952" t="s">
        <v>1982</v>
      </c>
      <c r="AI51" s="1952"/>
      <c r="AJ51" s="1952"/>
      <c r="AK51" s="1952"/>
      <c r="AL51" s="1952"/>
      <c r="AM51" s="1952"/>
      <c r="AN51" s="1952"/>
      <c r="AO51" s="1953"/>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5" t="s">
        <v>1983</v>
      </c>
      <c r="C52" s="1936"/>
      <c r="D52" s="1936"/>
      <c r="E52" s="1936"/>
      <c r="F52" s="1936"/>
      <c r="G52" s="1936"/>
      <c r="H52" s="1936"/>
      <c r="I52" s="1936"/>
      <c r="J52" s="1954">
        <v>0</v>
      </c>
      <c r="K52" s="1954"/>
      <c r="L52" s="1954"/>
      <c r="M52" s="1954"/>
      <c r="N52" s="1954"/>
      <c r="O52" s="1954"/>
      <c r="P52" s="1954"/>
      <c r="Q52" s="1954"/>
      <c r="R52" s="1955">
        <v>0</v>
      </c>
      <c r="S52" s="1955"/>
      <c r="T52" s="1955"/>
      <c r="U52" s="1955"/>
      <c r="V52" s="1955"/>
      <c r="W52" s="1955"/>
      <c r="X52" s="1955"/>
      <c r="Y52" s="1955"/>
      <c r="Z52" s="1956">
        <v>0</v>
      </c>
      <c r="AA52" s="1956"/>
      <c r="AB52" s="1956"/>
      <c r="AC52" s="1956"/>
      <c r="AD52" s="1956"/>
      <c r="AE52" s="1956"/>
      <c r="AF52" s="1956"/>
      <c r="AG52" s="1956"/>
      <c r="AH52" s="1957"/>
      <c r="AI52" s="1957"/>
      <c r="AJ52" s="1957"/>
      <c r="AK52" s="1957"/>
      <c r="AL52" s="1957"/>
      <c r="AM52" s="1957"/>
      <c r="AN52" s="1957"/>
      <c r="AO52" s="1958"/>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5" t="s">
        <v>1984</v>
      </c>
      <c r="C53" s="1936"/>
      <c r="D53" s="1936"/>
      <c r="E53" s="1936"/>
      <c r="F53" s="1936"/>
      <c r="G53" s="1936"/>
      <c r="H53" s="1936"/>
      <c r="I53" s="1936"/>
      <c r="J53" s="1954">
        <v>0</v>
      </c>
      <c r="K53" s="1954"/>
      <c r="L53" s="1954"/>
      <c r="M53" s="1954"/>
      <c r="N53" s="1954"/>
      <c r="O53" s="1954"/>
      <c r="P53" s="1954"/>
      <c r="Q53" s="1954"/>
      <c r="R53" s="1955">
        <v>0</v>
      </c>
      <c r="S53" s="1955"/>
      <c r="T53" s="1955"/>
      <c r="U53" s="1955"/>
      <c r="V53" s="1955"/>
      <c r="W53" s="1955"/>
      <c r="X53" s="1955"/>
      <c r="Y53" s="1955"/>
      <c r="Z53" s="1956">
        <v>0</v>
      </c>
      <c r="AA53" s="1956"/>
      <c r="AB53" s="1956"/>
      <c r="AC53" s="1956"/>
      <c r="AD53" s="1956"/>
      <c r="AE53" s="1956"/>
      <c r="AF53" s="1956"/>
      <c r="AG53" s="1956"/>
      <c r="AH53" s="1957"/>
      <c r="AI53" s="1957"/>
      <c r="AJ53" s="1957"/>
      <c r="AK53" s="1957"/>
      <c r="AL53" s="1957"/>
      <c r="AM53" s="1957"/>
      <c r="AN53" s="1957"/>
      <c r="AO53" s="1958"/>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5"/>
      <c r="C54" s="1936"/>
      <c r="D54" s="1936"/>
      <c r="E54" s="1936"/>
      <c r="F54" s="1936"/>
      <c r="G54" s="1936"/>
      <c r="H54" s="1936"/>
      <c r="I54" s="1936"/>
      <c r="J54" s="1954"/>
      <c r="K54" s="1954"/>
      <c r="L54" s="1954"/>
      <c r="M54" s="1954"/>
      <c r="N54" s="1954"/>
      <c r="O54" s="1954"/>
      <c r="P54" s="1954"/>
      <c r="Q54" s="1954"/>
      <c r="R54" s="1955"/>
      <c r="S54" s="1955"/>
      <c r="T54" s="1955"/>
      <c r="U54" s="1955"/>
      <c r="V54" s="1955"/>
      <c r="W54" s="1955"/>
      <c r="X54" s="1955"/>
      <c r="Y54" s="1955"/>
      <c r="Z54" s="1956"/>
      <c r="AA54" s="1956"/>
      <c r="AB54" s="1956"/>
      <c r="AC54" s="1956"/>
      <c r="AD54" s="1956"/>
      <c r="AE54" s="1956"/>
      <c r="AF54" s="1956"/>
      <c r="AG54" s="1956"/>
      <c r="AH54" s="1957"/>
      <c r="AI54" s="1957"/>
      <c r="AJ54" s="1957"/>
      <c r="AK54" s="1957"/>
      <c r="AL54" s="1957"/>
      <c r="AM54" s="1957"/>
      <c r="AN54" s="1957"/>
      <c r="AO54" s="1958"/>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5"/>
      <c r="C55" s="1936"/>
      <c r="D55" s="1936"/>
      <c r="E55" s="1936"/>
      <c r="F55" s="1936"/>
      <c r="G55" s="1936"/>
      <c r="H55" s="1936"/>
      <c r="I55" s="1936"/>
      <c r="J55" s="1954"/>
      <c r="K55" s="1954"/>
      <c r="L55" s="1954"/>
      <c r="M55" s="1954"/>
      <c r="N55" s="1954"/>
      <c r="O55" s="1954"/>
      <c r="P55" s="1954"/>
      <c r="Q55" s="1954"/>
      <c r="R55" s="1955"/>
      <c r="S55" s="1955"/>
      <c r="T55" s="1955"/>
      <c r="U55" s="1955"/>
      <c r="V55" s="1955"/>
      <c r="W55" s="1955"/>
      <c r="X55" s="1955"/>
      <c r="Y55" s="1955"/>
      <c r="Z55" s="1956"/>
      <c r="AA55" s="1956"/>
      <c r="AB55" s="1956"/>
      <c r="AC55" s="1956"/>
      <c r="AD55" s="1956"/>
      <c r="AE55" s="1956"/>
      <c r="AF55" s="1956"/>
      <c r="AG55" s="1956"/>
      <c r="AH55" s="1957"/>
      <c r="AI55" s="1957"/>
      <c r="AJ55" s="1957"/>
      <c r="AK55" s="1957"/>
      <c r="AL55" s="1957"/>
      <c r="AM55" s="1957"/>
      <c r="AN55" s="1957"/>
      <c r="AO55" s="1958"/>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5"/>
      <c r="C56" s="1936"/>
      <c r="D56" s="1936"/>
      <c r="E56" s="1936"/>
      <c r="F56" s="1936"/>
      <c r="G56" s="1936"/>
      <c r="H56" s="1936"/>
      <c r="I56" s="1936"/>
      <c r="J56" s="1954"/>
      <c r="K56" s="1954"/>
      <c r="L56" s="1954"/>
      <c r="M56" s="1954"/>
      <c r="N56" s="1954"/>
      <c r="O56" s="1954"/>
      <c r="P56" s="1954"/>
      <c r="Q56" s="1954"/>
      <c r="R56" s="1955"/>
      <c r="S56" s="1955"/>
      <c r="T56" s="1955"/>
      <c r="U56" s="1955"/>
      <c r="V56" s="1955"/>
      <c r="W56" s="1955"/>
      <c r="X56" s="1955"/>
      <c r="Y56" s="1955"/>
      <c r="Z56" s="1956"/>
      <c r="AA56" s="1956"/>
      <c r="AB56" s="1956"/>
      <c r="AC56" s="1956"/>
      <c r="AD56" s="1956"/>
      <c r="AE56" s="1956"/>
      <c r="AF56" s="1956"/>
      <c r="AG56" s="1956"/>
      <c r="AH56" s="1957"/>
      <c r="AI56" s="1957"/>
      <c r="AJ56" s="1957"/>
      <c r="AK56" s="1957"/>
      <c r="AL56" s="1957"/>
      <c r="AM56" s="1957"/>
      <c r="AN56" s="1957"/>
      <c r="AO56" s="1958"/>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8" t="s">
        <v>1952</v>
      </c>
      <c r="C57" s="1969"/>
      <c r="D57" s="1969"/>
      <c r="E57" s="1969"/>
      <c r="F57" s="1969"/>
      <c r="G57" s="1969"/>
      <c r="H57" s="1969"/>
      <c r="I57" s="1969"/>
      <c r="J57" s="1969"/>
      <c r="K57" s="1969"/>
      <c r="L57" s="1969"/>
      <c r="M57" s="1969"/>
      <c r="N57" s="1969"/>
      <c r="O57" s="1969"/>
      <c r="P57" s="1969"/>
      <c r="Q57" s="1969"/>
      <c r="R57" s="1970">
        <f>SUM(R52:Y56)</f>
        <v>0</v>
      </c>
      <c r="S57" s="1970"/>
      <c r="T57" s="1970"/>
      <c r="U57" s="1970"/>
      <c r="V57" s="1970"/>
      <c r="W57" s="1970"/>
      <c r="X57" s="1970"/>
      <c r="Y57" s="1970"/>
      <c r="Z57" s="1971">
        <f>SUM(Z52:AG56)</f>
        <v>0</v>
      </c>
      <c r="AA57" s="1971"/>
      <c r="AB57" s="1971"/>
      <c r="AC57" s="1971"/>
      <c r="AD57" s="1971"/>
      <c r="AE57" s="1971"/>
      <c r="AF57" s="1971"/>
      <c r="AG57" s="1971"/>
      <c r="AH57" s="1972"/>
      <c r="AI57" s="1972"/>
      <c r="AJ57" s="1972"/>
      <c r="AK57" s="1972"/>
      <c r="AL57" s="1972"/>
      <c r="AM57" s="1972"/>
      <c r="AN57" s="1972"/>
      <c r="AO57" s="1973"/>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59" t="s">
        <v>1978</v>
      </c>
      <c r="C59" s="1960"/>
      <c r="D59" s="1960"/>
      <c r="E59" s="1960"/>
      <c r="F59" s="1960"/>
      <c r="G59" s="1960"/>
      <c r="H59" s="1960"/>
      <c r="I59" s="1961"/>
      <c r="J59" s="1853" t="s">
        <v>1985</v>
      </c>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c r="AM59" s="1853"/>
      <c r="AN59" s="1853"/>
      <c r="AO59" s="1853"/>
      <c r="AP59" s="1853"/>
      <c r="AQ59" s="1853"/>
      <c r="AR59" s="1853"/>
      <c r="AS59" s="1853"/>
      <c r="AT59" s="1853"/>
      <c r="AU59" s="1853"/>
      <c r="AV59" s="1853"/>
      <c r="AW59" s="1854"/>
      <c r="AX59" s="1097"/>
      <c r="AY59" s="1097"/>
      <c r="AZ59" s="1097"/>
      <c r="BA59" s="1097"/>
      <c r="BB59" s="1097"/>
      <c r="BC59" s="1097"/>
      <c r="BD59" s="1097"/>
      <c r="BE59" s="1101"/>
    </row>
    <row r="60" spans="1:77" ht="15.75" customHeight="1">
      <c r="A60" s="1097"/>
      <c r="B60" s="1962" t="str">
        <f>IF(B52="", "", B52)</f>
        <v>Services Company 1</v>
      </c>
      <c r="C60" s="1963"/>
      <c r="D60" s="1963"/>
      <c r="E60" s="1963"/>
      <c r="F60" s="1963"/>
      <c r="G60" s="1963"/>
      <c r="H60" s="1963"/>
      <c r="I60" s="1964"/>
      <c r="J60" s="1965"/>
      <c r="K60" s="1966"/>
      <c r="L60" s="1966"/>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c r="AN60" s="1966"/>
      <c r="AO60" s="1966"/>
      <c r="AP60" s="1966"/>
      <c r="AQ60" s="1966"/>
      <c r="AR60" s="1966"/>
      <c r="AS60" s="1966"/>
      <c r="AT60" s="1966"/>
      <c r="AU60" s="1966"/>
      <c r="AV60" s="1966"/>
      <c r="AW60" s="1967"/>
      <c r="AX60" s="1097"/>
      <c r="AY60" s="1097"/>
      <c r="AZ60" s="1097"/>
      <c r="BA60" s="1097"/>
      <c r="BB60" s="1097"/>
      <c r="BC60" s="1097"/>
      <c r="BD60" s="1097"/>
      <c r="BE60" s="1101"/>
    </row>
    <row r="61" spans="1:77" ht="15.75" customHeight="1">
      <c r="A61" s="1097"/>
      <c r="B61" s="1962" t="str">
        <f>IF(B53="", "", B53)</f>
        <v>Services Company 2</v>
      </c>
      <c r="C61" s="1963"/>
      <c r="D61" s="1963"/>
      <c r="E61" s="1963"/>
      <c r="F61" s="1963"/>
      <c r="G61" s="1963"/>
      <c r="H61" s="1963"/>
      <c r="I61" s="1964"/>
      <c r="J61" s="1965"/>
      <c r="K61" s="1966"/>
      <c r="L61" s="1966"/>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c r="AN61" s="1966"/>
      <c r="AO61" s="1966"/>
      <c r="AP61" s="1966"/>
      <c r="AQ61" s="1966"/>
      <c r="AR61" s="1966"/>
      <c r="AS61" s="1966"/>
      <c r="AT61" s="1966"/>
      <c r="AU61" s="1966"/>
      <c r="AV61" s="1966"/>
      <c r="AW61" s="1967"/>
      <c r="AX61" s="1097"/>
      <c r="AY61" s="1097"/>
      <c r="AZ61" s="1097"/>
      <c r="BA61" s="1097"/>
      <c r="BB61" s="1097"/>
      <c r="BC61" s="1097"/>
      <c r="BD61" s="1097"/>
      <c r="BE61" s="1101"/>
    </row>
    <row r="62" spans="1:77" ht="15.75" customHeight="1">
      <c r="A62" s="1097"/>
      <c r="B62" s="1962" t="str">
        <f>IF(B54="", "", B54)</f>
        <v/>
      </c>
      <c r="C62" s="1963"/>
      <c r="D62" s="1963"/>
      <c r="E62" s="1963"/>
      <c r="F62" s="1963"/>
      <c r="G62" s="1963"/>
      <c r="H62" s="1963"/>
      <c r="I62" s="1964"/>
      <c r="J62" s="1965"/>
      <c r="K62" s="1966"/>
      <c r="L62" s="1966"/>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c r="AN62" s="1966"/>
      <c r="AO62" s="1966"/>
      <c r="AP62" s="1966"/>
      <c r="AQ62" s="1966"/>
      <c r="AR62" s="1966"/>
      <c r="AS62" s="1966"/>
      <c r="AT62" s="1966"/>
      <c r="AU62" s="1966"/>
      <c r="AV62" s="1966"/>
      <c r="AW62" s="1967"/>
      <c r="AX62" s="1097"/>
      <c r="AY62" s="1097"/>
      <c r="AZ62" s="1097"/>
      <c r="BA62" s="1097"/>
      <c r="BB62" s="1097"/>
      <c r="BC62" s="1097"/>
      <c r="BD62" s="1097"/>
      <c r="BE62" s="1101"/>
    </row>
    <row r="63" spans="1:77" ht="15.75" customHeight="1">
      <c r="A63" s="1097"/>
      <c r="B63" s="1962" t="str">
        <f>IF(B55="", "", B55)</f>
        <v/>
      </c>
      <c r="C63" s="1963"/>
      <c r="D63" s="1963"/>
      <c r="E63" s="1963"/>
      <c r="F63" s="1963"/>
      <c r="G63" s="1963"/>
      <c r="H63" s="1963"/>
      <c r="I63" s="1964"/>
      <c r="J63" s="1965"/>
      <c r="K63" s="1966"/>
      <c r="L63" s="1966"/>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c r="AS63" s="1966"/>
      <c r="AT63" s="1966"/>
      <c r="AU63" s="1966"/>
      <c r="AV63" s="1966"/>
      <c r="AW63" s="1967"/>
      <c r="AX63" s="1097"/>
      <c r="AY63" s="1097"/>
      <c r="AZ63" s="1097"/>
      <c r="BA63" s="1097"/>
      <c r="BB63" s="1097"/>
      <c r="BC63" s="1097"/>
      <c r="BD63" s="1097"/>
      <c r="BE63" s="1101"/>
    </row>
    <row r="64" spans="1:77" ht="15.75" customHeight="1" thickBot="1">
      <c r="A64" s="1097"/>
      <c r="B64" s="1982" t="str">
        <f>IF(B56="", "", B56)</f>
        <v/>
      </c>
      <c r="C64" s="1983"/>
      <c r="D64" s="1983"/>
      <c r="E64" s="1983"/>
      <c r="F64" s="1983"/>
      <c r="G64" s="1983"/>
      <c r="H64" s="1983"/>
      <c r="I64" s="1984"/>
      <c r="J64" s="1985"/>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7"/>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1986</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2" t="s">
        <v>1987</v>
      </c>
      <c r="C68" s="1853"/>
      <c r="D68" s="1853"/>
      <c r="E68" s="1853"/>
      <c r="F68" s="1853"/>
      <c r="G68" s="1853"/>
      <c r="H68" s="1853"/>
      <c r="I68" s="1853"/>
      <c r="J68" s="1853"/>
      <c r="K68" s="1853"/>
      <c r="L68" s="1853"/>
      <c r="M68" s="1853"/>
      <c r="N68" s="1853"/>
      <c r="O68" s="1853"/>
      <c r="P68" s="1853"/>
      <c r="Q68" s="1853"/>
      <c r="R68" s="1853"/>
      <c r="S68" s="1853"/>
      <c r="T68" s="1853"/>
      <c r="U68" s="1853"/>
      <c r="V68" s="1853"/>
      <c r="W68" s="1853"/>
      <c r="X68" s="1853"/>
      <c r="Y68" s="1853"/>
      <c r="Z68" s="1853"/>
      <c r="AA68" s="1854"/>
      <c r="AB68" s="1097"/>
      <c r="AC68" s="1994" t="s">
        <v>1988</v>
      </c>
      <c r="AD68" s="1995"/>
      <c r="AE68" s="1995"/>
      <c r="AF68" s="1995"/>
      <c r="AG68" s="1995"/>
      <c r="AH68" s="1995"/>
      <c r="AI68" s="1995"/>
      <c r="AJ68" s="1995"/>
      <c r="AK68" s="1995"/>
      <c r="AL68" s="1995"/>
      <c r="AM68" s="1995"/>
      <c r="AN68" s="1995"/>
      <c r="AO68" s="1995"/>
      <c r="AP68" s="1995"/>
      <c r="AQ68" s="1995"/>
      <c r="AR68" s="1995"/>
      <c r="AS68" s="1995"/>
      <c r="AT68" s="1995"/>
      <c r="AU68" s="1995"/>
      <c r="AV68" s="1974" t="s">
        <v>701</v>
      </c>
      <c r="AW68" s="1975"/>
      <c r="AX68" s="1975"/>
      <c r="AY68" s="1975"/>
      <c r="AZ68" s="1975"/>
      <c r="BA68" s="1975"/>
      <c r="BB68" s="1975"/>
      <c r="BC68" s="1976"/>
      <c r="BD68" s="1097"/>
      <c r="BE68" s="1101"/>
      <c r="BM68" s="1107" t="s">
        <v>1989</v>
      </c>
    </row>
    <row r="69" spans="1:94" ht="15.75" customHeight="1" thickTop="1" thickBot="1">
      <c r="A69" s="1097"/>
      <c r="B69" s="1977" t="s">
        <v>1990</v>
      </c>
      <c r="C69" s="1978"/>
      <c r="D69" s="1978"/>
      <c r="E69" s="1978"/>
      <c r="F69" s="1978"/>
      <c r="G69" s="1978"/>
      <c r="H69" s="1978"/>
      <c r="I69" s="1978"/>
      <c r="J69" s="1978"/>
      <c r="K69" s="1978"/>
      <c r="L69" s="1978"/>
      <c r="M69" s="1978"/>
      <c r="N69" s="1978"/>
      <c r="O69" s="1825" t="s">
        <v>1991</v>
      </c>
      <c r="P69" s="1826"/>
      <c r="Q69" s="1826"/>
      <c r="R69" s="1826"/>
      <c r="S69" s="1826"/>
      <c r="T69" s="1826"/>
      <c r="U69" s="1826"/>
      <c r="V69" s="1826"/>
      <c r="W69" s="1826"/>
      <c r="X69" s="1826"/>
      <c r="Y69" s="1826"/>
      <c r="Z69" s="1826"/>
      <c r="AA69" s="1979"/>
      <c r="AB69" s="1097"/>
      <c r="AC69" s="1980" t="s">
        <v>1992</v>
      </c>
      <c r="AD69" s="1981"/>
      <c r="AE69" s="1981"/>
      <c r="AF69" s="1981"/>
      <c r="AG69" s="1981"/>
      <c r="AH69" s="1981"/>
      <c r="AI69" s="1981"/>
      <c r="AJ69" s="1981"/>
      <c r="AK69" s="1981"/>
      <c r="AL69" s="1981"/>
      <c r="AM69" s="1981"/>
      <c r="AN69" s="1981"/>
      <c r="AO69" s="1981"/>
      <c r="AP69" s="1981"/>
      <c r="AQ69" s="1981"/>
      <c r="AR69" s="1981"/>
      <c r="AS69" s="1981"/>
      <c r="AT69" s="1981"/>
      <c r="AU69" s="1981"/>
      <c r="AV69" s="1974" t="s">
        <v>701</v>
      </c>
      <c r="AW69" s="1975"/>
      <c r="AX69" s="1975"/>
      <c r="AY69" s="1975"/>
      <c r="AZ69" s="1975"/>
      <c r="BA69" s="1975"/>
      <c r="BB69" s="1975"/>
      <c r="BC69" s="1976"/>
      <c r="BD69" s="1097"/>
      <c r="BE69" s="1101"/>
      <c r="BM69" s="1108" t="s">
        <v>862</v>
      </c>
    </row>
    <row r="70" spans="1:94" ht="15.75" customHeight="1">
      <c r="A70" s="1097"/>
      <c r="B70" s="1931" t="s">
        <v>1993</v>
      </c>
      <c r="C70" s="1932"/>
      <c r="D70" s="1932"/>
      <c r="E70" s="1932"/>
      <c r="F70" s="1932"/>
      <c r="G70" s="1932"/>
      <c r="H70" s="1932"/>
      <c r="I70" s="1932"/>
      <c r="J70" s="1932"/>
      <c r="K70" s="1932"/>
      <c r="L70" s="1932"/>
      <c r="M70" s="1932"/>
      <c r="N70" s="1932"/>
      <c r="O70" s="1988">
        <v>0</v>
      </c>
      <c r="P70" s="1988"/>
      <c r="Q70" s="1988"/>
      <c r="R70" s="1988"/>
      <c r="S70" s="1988"/>
      <c r="T70" s="1988"/>
      <c r="U70" s="1988"/>
      <c r="V70" s="1988"/>
      <c r="W70" s="1988"/>
      <c r="X70" s="1988"/>
      <c r="Y70" s="1988"/>
      <c r="Z70" s="1988"/>
      <c r="AA70" s="1989"/>
      <c r="AB70" s="1097"/>
      <c r="AC70" s="1947" t="s">
        <v>1994</v>
      </c>
      <c r="AD70" s="1948"/>
      <c r="AE70" s="1948"/>
      <c r="AF70" s="1990"/>
      <c r="AG70" s="1990"/>
      <c r="AH70" s="1990"/>
      <c r="AI70" s="1990"/>
      <c r="AJ70" s="1990"/>
      <c r="AK70" s="1990"/>
      <c r="AL70" s="1990"/>
      <c r="AM70" s="1990"/>
      <c r="AN70" s="1990"/>
      <c r="AO70" s="1990"/>
      <c r="AP70" s="1990"/>
      <c r="AQ70" s="1990"/>
      <c r="AR70" s="1990"/>
      <c r="AS70" s="1990"/>
      <c r="AT70" s="1990"/>
      <c r="AU70" s="1991"/>
      <c r="AV70" s="1097"/>
      <c r="AW70" s="1097"/>
      <c r="AX70" s="1097"/>
      <c r="AY70" s="1097"/>
      <c r="AZ70" s="1097"/>
      <c r="BA70" s="1097"/>
      <c r="BB70" s="1097"/>
      <c r="BC70" s="1097"/>
      <c r="BD70" s="1097"/>
      <c r="BE70" s="1101"/>
      <c r="BM70" s="1109" t="s">
        <v>701</v>
      </c>
    </row>
    <row r="71" spans="1:94" ht="15.75" customHeight="1" thickBot="1">
      <c r="A71" s="1097"/>
      <c r="B71" s="1931" t="s">
        <v>1995</v>
      </c>
      <c r="C71" s="1932"/>
      <c r="D71" s="1932"/>
      <c r="E71" s="1932"/>
      <c r="F71" s="1932"/>
      <c r="G71" s="1932"/>
      <c r="H71" s="1932"/>
      <c r="I71" s="1932"/>
      <c r="J71" s="1932"/>
      <c r="K71" s="1932"/>
      <c r="L71" s="1932"/>
      <c r="M71" s="1932"/>
      <c r="N71" s="1932"/>
      <c r="O71" s="1988">
        <v>0</v>
      </c>
      <c r="P71" s="1988"/>
      <c r="Q71" s="1988"/>
      <c r="R71" s="1988"/>
      <c r="S71" s="1988"/>
      <c r="T71" s="1988"/>
      <c r="U71" s="1988"/>
      <c r="V71" s="1988"/>
      <c r="W71" s="1988"/>
      <c r="X71" s="1988"/>
      <c r="Y71" s="1988"/>
      <c r="Z71" s="1988"/>
      <c r="AA71" s="1989"/>
      <c r="AB71" s="1097"/>
      <c r="AC71" s="1992" t="s">
        <v>1996</v>
      </c>
      <c r="AD71" s="1993"/>
      <c r="AE71" s="1993"/>
      <c r="AF71" s="1986"/>
      <c r="AG71" s="1986"/>
      <c r="AH71" s="1986"/>
      <c r="AI71" s="1986"/>
      <c r="AJ71" s="1986"/>
      <c r="AK71" s="1986"/>
      <c r="AL71" s="1986"/>
      <c r="AM71" s="1986"/>
      <c r="AN71" s="1986"/>
      <c r="AO71" s="1986"/>
      <c r="AP71" s="1986"/>
      <c r="AQ71" s="1986"/>
      <c r="AR71" s="1986"/>
      <c r="AS71" s="1986"/>
      <c r="AT71" s="1986"/>
      <c r="AU71" s="1987"/>
      <c r="AV71" s="1097"/>
      <c r="AW71" s="1097"/>
      <c r="AX71" s="1097"/>
      <c r="AY71" s="1097"/>
      <c r="AZ71" s="1097"/>
      <c r="BA71" s="1097"/>
      <c r="BB71" s="1097"/>
      <c r="BC71" s="1097"/>
      <c r="BD71" s="1097"/>
      <c r="BE71" s="1101"/>
      <c r="BM71" s="1093" t="s">
        <v>1997</v>
      </c>
    </row>
    <row r="72" spans="1:94" ht="15.75" customHeight="1">
      <c r="A72" s="1097"/>
      <c r="B72" s="1931" t="s">
        <v>1998</v>
      </c>
      <c r="C72" s="1932"/>
      <c r="D72" s="1932"/>
      <c r="E72" s="1932"/>
      <c r="F72" s="1932"/>
      <c r="G72" s="1932"/>
      <c r="H72" s="1932"/>
      <c r="I72" s="1932"/>
      <c r="J72" s="1932"/>
      <c r="K72" s="1932"/>
      <c r="L72" s="1932"/>
      <c r="M72" s="1932"/>
      <c r="N72" s="1932"/>
      <c r="O72" s="1988">
        <v>0</v>
      </c>
      <c r="P72" s="1988"/>
      <c r="Q72" s="1988"/>
      <c r="R72" s="1988"/>
      <c r="S72" s="1988"/>
      <c r="T72" s="1988"/>
      <c r="U72" s="1988"/>
      <c r="V72" s="1988"/>
      <c r="W72" s="1988"/>
      <c r="X72" s="1988"/>
      <c r="Y72" s="1988"/>
      <c r="Z72" s="1988"/>
      <c r="AA72" s="1989"/>
      <c r="AB72" s="1097"/>
      <c r="AC72" s="1996" t="s">
        <v>1999</v>
      </c>
      <c r="AD72" s="1997"/>
      <c r="AE72" s="1997"/>
      <c r="AF72" s="1997"/>
      <c r="AG72" s="1997"/>
      <c r="AH72" s="1997"/>
      <c r="AI72" s="1997"/>
      <c r="AJ72" s="1997"/>
      <c r="AK72" s="1997"/>
      <c r="AL72" s="1997"/>
      <c r="AM72" s="1997"/>
      <c r="AN72" s="1997"/>
      <c r="AO72" s="1997"/>
      <c r="AP72" s="1997"/>
      <c r="AQ72" s="1997"/>
      <c r="AR72" s="1997"/>
      <c r="AS72" s="1997"/>
      <c r="AT72" s="1997"/>
      <c r="AU72" s="1997"/>
      <c r="AV72" s="1948"/>
      <c r="AW72" s="1948"/>
      <c r="AX72" s="1948"/>
      <c r="AY72" s="1948"/>
      <c r="AZ72" s="1948"/>
      <c r="BA72" s="1948"/>
      <c r="BB72" s="1948"/>
      <c r="BC72" s="1949"/>
      <c r="BD72" s="1097"/>
      <c r="BE72" s="1101"/>
    </row>
    <row r="73" spans="1:94" ht="15.75" customHeight="1">
      <c r="A73" s="1097"/>
      <c r="B73" s="1935" t="s">
        <v>2000</v>
      </c>
      <c r="C73" s="1936"/>
      <c r="D73" s="1936"/>
      <c r="E73" s="1936"/>
      <c r="F73" s="1936"/>
      <c r="G73" s="1936"/>
      <c r="H73" s="1936"/>
      <c r="I73" s="1936"/>
      <c r="J73" s="1936"/>
      <c r="K73" s="1936"/>
      <c r="L73" s="1936"/>
      <c r="M73" s="1936"/>
      <c r="N73" s="1936"/>
      <c r="O73" s="1988">
        <v>0</v>
      </c>
      <c r="P73" s="1988"/>
      <c r="Q73" s="1988"/>
      <c r="R73" s="1988"/>
      <c r="S73" s="1988"/>
      <c r="T73" s="1988"/>
      <c r="U73" s="1988"/>
      <c r="V73" s="1988"/>
      <c r="W73" s="1988"/>
      <c r="X73" s="1988"/>
      <c r="Y73" s="1988"/>
      <c r="Z73" s="1988"/>
      <c r="AA73" s="1989"/>
      <c r="AB73" s="1097"/>
      <c r="AC73" s="1998" t="s">
        <v>2001</v>
      </c>
      <c r="AD73" s="1999"/>
      <c r="AE73" s="1999"/>
      <c r="AF73" s="1999"/>
      <c r="AG73" s="1999"/>
      <c r="AH73" s="1999"/>
      <c r="AI73" s="1999"/>
      <c r="AJ73" s="1999"/>
      <c r="AK73" s="1999"/>
      <c r="AL73" s="1999"/>
      <c r="AM73" s="1999"/>
      <c r="AN73" s="1999"/>
      <c r="AO73" s="1999"/>
      <c r="AP73" s="1999"/>
      <c r="AQ73" s="1999"/>
      <c r="AR73" s="1999"/>
      <c r="AS73" s="1999"/>
      <c r="AT73" s="1999"/>
      <c r="AU73" s="1999"/>
      <c r="AV73" s="1999"/>
      <c r="AW73" s="1999"/>
      <c r="AX73" s="1999"/>
      <c r="AY73" s="1999"/>
      <c r="AZ73" s="1999"/>
      <c r="BA73" s="1999"/>
      <c r="BB73" s="1999"/>
      <c r="BC73" s="2000"/>
      <c r="BD73" s="1097"/>
      <c r="BE73" s="1101"/>
      <c r="CK73" s="1095"/>
      <c r="CL73" s="1095"/>
      <c r="CM73" s="1095"/>
      <c r="CN73" s="1095"/>
      <c r="CO73" s="1095"/>
      <c r="CP73" s="1095"/>
    </row>
    <row r="74" spans="1:94" ht="15.75" customHeight="1">
      <c r="A74" s="1097"/>
      <c r="B74" s="2004"/>
      <c r="C74" s="1954"/>
      <c r="D74" s="1954"/>
      <c r="E74" s="1954"/>
      <c r="F74" s="1954"/>
      <c r="G74" s="1954"/>
      <c r="H74" s="1954"/>
      <c r="I74" s="1954"/>
      <c r="J74" s="1954"/>
      <c r="K74" s="1954"/>
      <c r="L74" s="1954"/>
      <c r="M74" s="1954"/>
      <c r="N74" s="1954"/>
      <c r="O74" s="1988"/>
      <c r="P74" s="1988"/>
      <c r="Q74" s="1988"/>
      <c r="R74" s="1988"/>
      <c r="S74" s="1988"/>
      <c r="T74" s="1988"/>
      <c r="U74" s="1988"/>
      <c r="V74" s="1988"/>
      <c r="W74" s="1988"/>
      <c r="X74" s="1988"/>
      <c r="Y74" s="1988"/>
      <c r="Z74" s="1988"/>
      <c r="AA74" s="1989"/>
      <c r="AB74" s="1097"/>
      <c r="AC74" s="1998"/>
      <c r="AD74" s="1999"/>
      <c r="AE74" s="1999"/>
      <c r="AF74" s="1999"/>
      <c r="AG74" s="1999"/>
      <c r="AH74" s="1999"/>
      <c r="AI74" s="1999"/>
      <c r="AJ74" s="1999"/>
      <c r="AK74" s="1999"/>
      <c r="AL74" s="1999"/>
      <c r="AM74" s="1999"/>
      <c r="AN74" s="1999"/>
      <c r="AO74" s="1999"/>
      <c r="AP74" s="1999"/>
      <c r="AQ74" s="1999"/>
      <c r="AR74" s="1999"/>
      <c r="AS74" s="1999"/>
      <c r="AT74" s="1999"/>
      <c r="AU74" s="1999"/>
      <c r="AV74" s="1999"/>
      <c r="AW74" s="1999"/>
      <c r="AX74" s="1999"/>
      <c r="AY74" s="1999"/>
      <c r="AZ74" s="1999"/>
      <c r="BA74" s="1999"/>
      <c r="BB74" s="1999"/>
      <c r="BC74" s="2000"/>
      <c r="BD74" s="1097"/>
      <c r="BE74" s="1101"/>
      <c r="CK74" s="1095"/>
      <c r="CL74" s="1095"/>
      <c r="CM74" s="1095"/>
      <c r="CN74" s="1095"/>
      <c r="CO74" s="1095"/>
      <c r="CP74" s="1095"/>
    </row>
    <row r="75" spans="1:94" ht="15.75" customHeight="1" thickBot="1">
      <c r="A75" s="1097"/>
      <c r="B75" s="2005" t="s">
        <v>1504</v>
      </c>
      <c r="C75" s="2006"/>
      <c r="D75" s="2006"/>
      <c r="E75" s="2006"/>
      <c r="F75" s="2006"/>
      <c r="G75" s="2006"/>
      <c r="H75" s="2006"/>
      <c r="I75" s="2006"/>
      <c r="J75" s="2006"/>
      <c r="K75" s="2006"/>
      <c r="L75" s="2006"/>
      <c r="M75" s="2006"/>
      <c r="N75" s="2006"/>
      <c r="O75" s="2007">
        <f>SUM(O70:AA74)</f>
        <v>0</v>
      </c>
      <c r="P75" s="2007"/>
      <c r="Q75" s="2007"/>
      <c r="R75" s="2007"/>
      <c r="S75" s="2007"/>
      <c r="T75" s="2007"/>
      <c r="U75" s="2007"/>
      <c r="V75" s="2007"/>
      <c r="W75" s="2007"/>
      <c r="X75" s="2007"/>
      <c r="Y75" s="2007"/>
      <c r="Z75" s="2007"/>
      <c r="AA75" s="2008"/>
      <c r="AB75" s="1097"/>
      <c r="AC75" s="1998"/>
      <c r="AD75" s="1999"/>
      <c r="AE75" s="1999"/>
      <c r="AF75" s="1999"/>
      <c r="AG75" s="1999"/>
      <c r="AH75" s="1999"/>
      <c r="AI75" s="1999"/>
      <c r="AJ75" s="1999"/>
      <c r="AK75" s="1999"/>
      <c r="AL75" s="1999"/>
      <c r="AM75" s="1999"/>
      <c r="AN75" s="1999"/>
      <c r="AO75" s="1999"/>
      <c r="AP75" s="1999"/>
      <c r="AQ75" s="1999"/>
      <c r="AR75" s="1999"/>
      <c r="AS75" s="1999"/>
      <c r="AT75" s="1999"/>
      <c r="AU75" s="1999"/>
      <c r="AV75" s="1999"/>
      <c r="AW75" s="1999"/>
      <c r="AX75" s="1999"/>
      <c r="AY75" s="1999"/>
      <c r="AZ75" s="1999"/>
      <c r="BA75" s="1999"/>
      <c r="BB75" s="1999"/>
      <c r="BC75" s="2000"/>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8"/>
      <c r="AD76" s="1999"/>
      <c r="AE76" s="1999"/>
      <c r="AF76" s="1999"/>
      <c r="AG76" s="1999"/>
      <c r="AH76" s="1999"/>
      <c r="AI76" s="1999"/>
      <c r="AJ76" s="1999"/>
      <c r="AK76" s="1999"/>
      <c r="AL76" s="1999"/>
      <c r="AM76" s="1999"/>
      <c r="AN76" s="1999"/>
      <c r="AO76" s="1999"/>
      <c r="AP76" s="1999"/>
      <c r="AQ76" s="1999"/>
      <c r="AR76" s="1999"/>
      <c r="AS76" s="1999"/>
      <c r="AT76" s="1999"/>
      <c r="AU76" s="1999"/>
      <c r="AV76" s="1999"/>
      <c r="AW76" s="1999"/>
      <c r="AX76" s="1999"/>
      <c r="AY76" s="1999"/>
      <c r="AZ76" s="1999"/>
      <c r="BA76" s="1999"/>
      <c r="BB76" s="1999"/>
      <c r="BC76" s="2000"/>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1"/>
      <c r="AD77" s="2002"/>
      <c r="AE77" s="2002"/>
      <c r="AF77" s="2002"/>
      <c r="AG77" s="2002"/>
      <c r="AH77" s="2002"/>
      <c r="AI77" s="2002"/>
      <c r="AJ77" s="2002"/>
      <c r="AK77" s="2002"/>
      <c r="AL77" s="2002"/>
      <c r="AM77" s="2002"/>
      <c r="AN77" s="2002"/>
      <c r="AO77" s="2002"/>
      <c r="AP77" s="2002"/>
      <c r="AQ77" s="2002"/>
      <c r="AR77" s="2002"/>
      <c r="AS77" s="2002"/>
      <c r="AT77" s="2002"/>
      <c r="AU77" s="2002"/>
      <c r="AV77" s="2002"/>
      <c r="AW77" s="2002"/>
      <c r="AX77" s="2002"/>
      <c r="AY77" s="2002"/>
      <c r="AZ77" s="2002"/>
      <c r="BA77" s="2002"/>
      <c r="BB77" s="2002"/>
      <c r="BC77" s="2003"/>
      <c r="BD77" s="1097"/>
      <c r="BE77" s="1101"/>
      <c r="CK77" s="1095"/>
      <c r="CL77" s="1095"/>
      <c r="CM77" s="1095"/>
      <c r="CN77" s="1095"/>
      <c r="CO77" s="1095"/>
      <c r="CP77" s="1095"/>
    </row>
    <row r="78" spans="1:94" ht="15.75" customHeight="1" thickBot="1">
      <c r="A78" s="1097"/>
      <c r="B78" s="1110" t="s">
        <v>2002</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2003</v>
      </c>
      <c r="C79" s="1114"/>
      <c r="D79" s="1114"/>
      <c r="E79" s="1115"/>
      <c r="F79" s="2009"/>
      <c r="G79" s="2010"/>
      <c r="H79" s="2010"/>
      <c r="I79" s="2010"/>
      <c r="J79" s="2010"/>
      <c r="K79" s="2010"/>
      <c r="L79" s="2010"/>
      <c r="M79" s="2010"/>
      <c r="N79" s="2010"/>
      <c r="O79" s="2010"/>
      <c r="P79" s="2010"/>
      <c r="Q79" s="2010"/>
      <c r="R79" s="2010"/>
      <c r="S79" s="2010"/>
      <c r="T79" s="2011"/>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2" t="s">
        <v>2004</v>
      </c>
      <c r="C81" s="2013"/>
      <c r="D81" s="2013"/>
      <c r="E81" s="2013"/>
      <c r="F81" s="2013"/>
      <c r="G81" s="2013"/>
      <c r="H81" s="2013"/>
      <c r="I81" s="2013"/>
      <c r="J81" s="2013"/>
      <c r="K81" s="2013"/>
      <c r="L81" s="2013"/>
      <c r="M81" s="2013"/>
      <c r="N81" s="2013"/>
      <c r="O81" s="2013"/>
      <c r="P81" s="2013"/>
      <c r="Q81" s="2013"/>
      <c r="R81" s="2013"/>
      <c r="S81" s="2013"/>
      <c r="T81" s="2013"/>
      <c r="U81" s="2013"/>
      <c r="V81" s="2013"/>
      <c r="W81" s="2013"/>
      <c r="X81" s="2013"/>
      <c r="Y81" s="2013"/>
      <c r="Z81" s="2013"/>
      <c r="AA81" s="2013"/>
      <c r="AB81" s="2013"/>
      <c r="AC81" s="2013"/>
      <c r="AD81" s="2013"/>
      <c r="AE81" s="2013"/>
      <c r="AF81" s="2013"/>
      <c r="AG81" s="2013"/>
      <c r="AH81" s="2014"/>
      <c r="AI81" s="1097"/>
      <c r="AJ81" s="2015" t="s">
        <v>2005</v>
      </c>
      <c r="AK81" s="2016"/>
      <c r="AL81" s="2016"/>
      <c r="AM81" s="2016"/>
      <c r="AN81" s="2016"/>
      <c r="AO81" s="2016"/>
      <c r="AP81" s="2016"/>
      <c r="AQ81" s="2016"/>
      <c r="AR81" s="2016"/>
      <c r="AS81" s="2016"/>
      <c r="AT81" s="2016"/>
      <c r="AU81" s="2016"/>
      <c r="AV81" s="2016"/>
      <c r="AW81" s="2016"/>
      <c r="AX81" s="2016"/>
      <c r="AY81" s="2019" t="s">
        <v>862</v>
      </c>
      <c r="AZ81" s="2019"/>
      <c r="BA81" s="2019"/>
      <c r="BB81" s="2020"/>
      <c r="BC81" s="1097"/>
      <c r="BD81" s="1097"/>
      <c r="BE81" s="1101"/>
      <c r="CK81" s="1095"/>
      <c r="CL81" s="1095"/>
      <c r="CM81" s="1095"/>
      <c r="CN81" s="1095"/>
      <c r="CO81" s="1095"/>
      <c r="CP81" s="1095"/>
    </row>
    <row r="82" spans="1:94" ht="15.75" customHeight="1">
      <c r="A82" s="1097"/>
      <c r="B82" s="1950"/>
      <c r="C82" s="1951"/>
      <c r="D82" s="1951"/>
      <c r="E82" s="1951"/>
      <c r="F82" s="1951"/>
      <c r="G82" s="1951"/>
      <c r="H82" s="1951"/>
      <c r="I82" s="1951" t="s">
        <v>2006</v>
      </c>
      <c r="J82" s="1951"/>
      <c r="K82" s="1951"/>
      <c r="L82" s="1951"/>
      <c r="M82" s="1951"/>
      <c r="N82" s="1951"/>
      <c r="O82" s="1951" t="s">
        <v>2007</v>
      </c>
      <c r="P82" s="1951"/>
      <c r="Q82" s="1951"/>
      <c r="R82" s="1951"/>
      <c r="S82" s="1951"/>
      <c r="T82" s="1951"/>
      <c r="U82" s="1951"/>
      <c r="V82" s="2023" t="s">
        <v>2008</v>
      </c>
      <c r="W82" s="2023"/>
      <c r="X82" s="2023"/>
      <c r="Y82" s="2023"/>
      <c r="Z82" s="2023"/>
      <c r="AA82" s="2023"/>
      <c r="AB82" s="2024" t="s">
        <v>2009</v>
      </c>
      <c r="AC82" s="2024"/>
      <c r="AD82" s="2024"/>
      <c r="AE82" s="2024"/>
      <c r="AF82" s="2024"/>
      <c r="AG82" s="2024"/>
      <c r="AH82" s="2025"/>
      <c r="AI82" s="1097"/>
      <c r="AJ82" s="2017"/>
      <c r="AK82" s="2018"/>
      <c r="AL82" s="2018"/>
      <c r="AM82" s="2018"/>
      <c r="AN82" s="2018"/>
      <c r="AO82" s="2018"/>
      <c r="AP82" s="2018"/>
      <c r="AQ82" s="2018"/>
      <c r="AR82" s="2018"/>
      <c r="AS82" s="2018"/>
      <c r="AT82" s="2018"/>
      <c r="AU82" s="2018"/>
      <c r="AV82" s="2018"/>
      <c r="AW82" s="2018"/>
      <c r="AX82" s="2018"/>
      <c r="AY82" s="2021"/>
      <c r="AZ82" s="2021"/>
      <c r="BA82" s="2021"/>
      <c r="BB82" s="2022"/>
      <c r="BC82" s="1097"/>
      <c r="BD82" s="1097"/>
      <c r="BE82" s="1101"/>
      <c r="CK82" s="1095"/>
      <c r="CL82" s="1095"/>
      <c r="CM82" s="1095"/>
      <c r="CN82" s="1095"/>
      <c r="CO82" s="1095"/>
      <c r="CP82" s="1095"/>
    </row>
    <row r="83" spans="1:94" ht="15.75" customHeight="1">
      <c r="A83" s="1097"/>
      <c r="B83" s="1950"/>
      <c r="C83" s="1951"/>
      <c r="D83" s="1951"/>
      <c r="E83" s="1951"/>
      <c r="F83" s="1951"/>
      <c r="G83" s="1951"/>
      <c r="H83" s="1951"/>
      <c r="I83" s="1951"/>
      <c r="J83" s="1951"/>
      <c r="K83" s="1951"/>
      <c r="L83" s="1951"/>
      <c r="M83" s="1951"/>
      <c r="N83" s="1951"/>
      <c r="O83" s="1951"/>
      <c r="P83" s="1951"/>
      <c r="Q83" s="1951"/>
      <c r="R83" s="1951"/>
      <c r="S83" s="1951"/>
      <c r="T83" s="1951"/>
      <c r="U83" s="1951"/>
      <c r="V83" s="2023"/>
      <c r="W83" s="2023"/>
      <c r="X83" s="2023"/>
      <c r="Y83" s="2023"/>
      <c r="Z83" s="2023"/>
      <c r="AA83" s="2023"/>
      <c r="AB83" s="2024"/>
      <c r="AC83" s="2024"/>
      <c r="AD83" s="2024"/>
      <c r="AE83" s="2024"/>
      <c r="AF83" s="2024"/>
      <c r="AG83" s="2024"/>
      <c r="AH83" s="2025"/>
      <c r="AI83" s="1097"/>
      <c r="AJ83" s="2017"/>
      <c r="AK83" s="2018"/>
      <c r="AL83" s="2018"/>
      <c r="AM83" s="2018"/>
      <c r="AN83" s="2018"/>
      <c r="AO83" s="2018"/>
      <c r="AP83" s="2018"/>
      <c r="AQ83" s="2018"/>
      <c r="AR83" s="2018"/>
      <c r="AS83" s="2018"/>
      <c r="AT83" s="2018"/>
      <c r="AU83" s="2018"/>
      <c r="AV83" s="2018"/>
      <c r="AW83" s="2018"/>
      <c r="AX83" s="2018"/>
      <c r="AY83" s="2021"/>
      <c r="AZ83" s="2021"/>
      <c r="BA83" s="2021"/>
      <c r="BB83" s="2022"/>
      <c r="BC83" s="1097"/>
      <c r="BD83" s="1097"/>
      <c r="BE83" s="1101"/>
      <c r="CK83" s="1095"/>
      <c r="CL83" s="1095"/>
      <c r="CM83" s="1095"/>
      <c r="CN83" s="1095"/>
      <c r="CO83" s="1095"/>
      <c r="CP83" s="1095"/>
    </row>
    <row r="84" spans="1:94" ht="15.75" customHeight="1">
      <c r="A84" s="1097"/>
      <c r="B84" s="1950" t="s">
        <v>2010</v>
      </c>
      <c r="C84" s="1951"/>
      <c r="D84" s="1951"/>
      <c r="E84" s="1951"/>
      <c r="F84" s="1951"/>
      <c r="G84" s="1951"/>
      <c r="H84" s="1951"/>
      <c r="I84" s="2028">
        <v>0</v>
      </c>
      <c r="J84" s="2028"/>
      <c r="K84" s="2028"/>
      <c r="L84" s="2028"/>
      <c r="M84" s="2028"/>
      <c r="N84" s="2028"/>
      <c r="O84" s="2028">
        <v>0</v>
      </c>
      <c r="P84" s="2028"/>
      <c r="Q84" s="2028"/>
      <c r="R84" s="2028"/>
      <c r="S84" s="2028"/>
      <c r="T84" s="2028"/>
      <c r="U84" s="2028"/>
      <c r="V84" s="2028">
        <v>0</v>
      </c>
      <c r="W84" s="2028"/>
      <c r="X84" s="2028"/>
      <c r="Y84" s="2028"/>
      <c r="Z84" s="2028"/>
      <c r="AA84" s="2028"/>
      <c r="AB84" s="2028">
        <v>0</v>
      </c>
      <c r="AC84" s="2028"/>
      <c r="AD84" s="2028"/>
      <c r="AE84" s="2028"/>
      <c r="AF84" s="2028"/>
      <c r="AG84" s="2028"/>
      <c r="AH84" s="2029"/>
      <c r="AI84" s="1097"/>
      <c r="AJ84" s="2017"/>
      <c r="AK84" s="2018"/>
      <c r="AL84" s="2018"/>
      <c r="AM84" s="2018"/>
      <c r="AN84" s="2018"/>
      <c r="AO84" s="2018"/>
      <c r="AP84" s="2018"/>
      <c r="AQ84" s="2018"/>
      <c r="AR84" s="2018"/>
      <c r="AS84" s="2018"/>
      <c r="AT84" s="2018"/>
      <c r="AU84" s="2018"/>
      <c r="AV84" s="2018"/>
      <c r="AW84" s="2018"/>
      <c r="AX84" s="2018"/>
      <c r="AY84" s="2021"/>
      <c r="AZ84" s="2021"/>
      <c r="BA84" s="2021"/>
      <c r="BB84" s="2022"/>
      <c r="BC84" s="1097"/>
      <c r="BD84" s="1097"/>
      <c r="BE84" s="1101"/>
      <c r="CK84" s="1095"/>
      <c r="CL84" s="1095"/>
      <c r="CM84" s="1095"/>
      <c r="CN84" s="1095"/>
      <c r="CO84" s="1095"/>
      <c r="CP84" s="1095"/>
    </row>
    <row r="85" spans="1:94" ht="15.75" customHeight="1">
      <c r="A85" s="1097"/>
      <c r="B85" s="1950" t="s">
        <v>2011</v>
      </c>
      <c r="C85" s="1951"/>
      <c r="D85" s="1951"/>
      <c r="E85" s="1951"/>
      <c r="F85" s="1951"/>
      <c r="G85" s="1951"/>
      <c r="H85" s="1951"/>
      <c r="I85" s="2028">
        <v>0</v>
      </c>
      <c r="J85" s="2028"/>
      <c r="K85" s="2028"/>
      <c r="L85" s="2028"/>
      <c r="M85" s="2028"/>
      <c r="N85" s="2028"/>
      <c r="O85" s="2028">
        <v>0</v>
      </c>
      <c r="P85" s="2028"/>
      <c r="Q85" s="2028"/>
      <c r="R85" s="2028"/>
      <c r="S85" s="2028"/>
      <c r="T85" s="2028"/>
      <c r="U85" s="2028"/>
      <c r="V85" s="2028">
        <v>0</v>
      </c>
      <c r="W85" s="2028"/>
      <c r="X85" s="2028"/>
      <c r="Y85" s="2028"/>
      <c r="Z85" s="2028"/>
      <c r="AA85" s="2028"/>
      <c r="AB85" s="2028">
        <v>0</v>
      </c>
      <c r="AC85" s="2028"/>
      <c r="AD85" s="2028"/>
      <c r="AE85" s="2028"/>
      <c r="AF85" s="2028"/>
      <c r="AG85" s="2028"/>
      <c r="AH85" s="2029"/>
      <c r="AI85" s="1097"/>
      <c r="AJ85" s="1998" t="s">
        <v>2012</v>
      </c>
      <c r="AK85" s="1999"/>
      <c r="AL85" s="1999"/>
      <c r="AM85" s="1999"/>
      <c r="AN85" s="1999"/>
      <c r="AO85" s="1999"/>
      <c r="AP85" s="1999"/>
      <c r="AQ85" s="1999"/>
      <c r="AR85" s="1999"/>
      <c r="AS85" s="1999"/>
      <c r="AT85" s="1999"/>
      <c r="AU85" s="1999"/>
      <c r="AV85" s="1999"/>
      <c r="AW85" s="1999"/>
      <c r="AX85" s="1999"/>
      <c r="AY85" s="1999"/>
      <c r="AZ85" s="1999"/>
      <c r="BA85" s="1999"/>
      <c r="BB85" s="2000"/>
      <c r="BC85" s="1097"/>
      <c r="BD85" s="1097"/>
      <c r="BE85" s="1101"/>
      <c r="CK85" s="1095"/>
      <c r="CL85" s="1095"/>
      <c r="CM85" s="1095"/>
      <c r="CN85" s="1095"/>
      <c r="CO85" s="1095"/>
      <c r="CP85" s="1095"/>
    </row>
    <row r="86" spans="1:94" ht="15.75" customHeight="1" thickBot="1">
      <c r="A86" s="1097"/>
      <c r="B86" s="1968" t="s">
        <v>2013</v>
      </c>
      <c r="C86" s="1969"/>
      <c r="D86" s="1969"/>
      <c r="E86" s="1969"/>
      <c r="F86" s="1969"/>
      <c r="G86" s="1969"/>
      <c r="H86" s="1969"/>
      <c r="I86" s="2026">
        <v>0</v>
      </c>
      <c r="J86" s="2026"/>
      <c r="K86" s="2026"/>
      <c r="L86" s="2026"/>
      <c r="M86" s="2026"/>
      <c r="N86" s="2026"/>
      <c r="O86" s="2026">
        <v>0</v>
      </c>
      <c r="P86" s="2026"/>
      <c r="Q86" s="2026"/>
      <c r="R86" s="2026"/>
      <c r="S86" s="2026"/>
      <c r="T86" s="2026"/>
      <c r="U86" s="2026"/>
      <c r="V86" s="2026">
        <v>0</v>
      </c>
      <c r="W86" s="2026"/>
      <c r="X86" s="2026"/>
      <c r="Y86" s="2026"/>
      <c r="Z86" s="2026"/>
      <c r="AA86" s="2026"/>
      <c r="AB86" s="2026">
        <v>0</v>
      </c>
      <c r="AC86" s="2026"/>
      <c r="AD86" s="2026"/>
      <c r="AE86" s="2026"/>
      <c r="AF86" s="2026"/>
      <c r="AG86" s="2026"/>
      <c r="AH86" s="2027"/>
      <c r="AI86" s="1097"/>
      <c r="AJ86" s="2001"/>
      <c r="AK86" s="2002"/>
      <c r="AL86" s="2002"/>
      <c r="AM86" s="2002"/>
      <c r="AN86" s="2002"/>
      <c r="AO86" s="2002"/>
      <c r="AP86" s="2002"/>
      <c r="AQ86" s="2002"/>
      <c r="AR86" s="2002"/>
      <c r="AS86" s="2002"/>
      <c r="AT86" s="2002"/>
      <c r="AU86" s="2002"/>
      <c r="AV86" s="2002"/>
      <c r="AW86" s="2002"/>
      <c r="AX86" s="2002"/>
      <c r="AY86" s="2002"/>
      <c r="AZ86" s="2002"/>
      <c r="BA86" s="2002"/>
      <c r="BB86" s="2003"/>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2014</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2003</v>
      </c>
      <c r="C90" s="1120"/>
      <c r="D90" s="1121"/>
      <c r="E90" s="1122"/>
      <c r="F90" s="2009"/>
      <c r="G90" s="2010"/>
      <c r="H90" s="2010"/>
      <c r="I90" s="2010"/>
      <c r="J90" s="2010"/>
      <c r="K90" s="2010"/>
      <c r="L90" s="2010"/>
      <c r="M90" s="2010"/>
      <c r="N90" s="2010"/>
      <c r="O90" s="2010"/>
      <c r="P90" s="2010"/>
      <c r="Q90" s="2010"/>
      <c r="R90" s="2010"/>
      <c r="S90" s="2010"/>
      <c r="T90" s="2011"/>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2" t="s">
        <v>2015</v>
      </c>
      <c r="C92" s="2013"/>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4"/>
      <c r="AI92" s="1097"/>
      <c r="AJ92" s="2015" t="s">
        <v>2016</v>
      </c>
      <c r="AK92" s="2016"/>
      <c r="AL92" s="2016"/>
      <c r="AM92" s="2016"/>
      <c r="AN92" s="2016"/>
      <c r="AO92" s="2016"/>
      <c r="AP92" s="2016"/>
      <c r="AQ92" s="2016"/>
      <c r="AR92" s="2016"/>
      <c r="AS92" s="2016"/>
      <c r="AT92" s="2016"/>
      <c r="AU92" s="2016"/>
      <c r="AV92" s="2016"/>
      <c r="AW92" s="2016"/>
      <c r="AX92" s="2016"/>
      <c r="AY92" s="2019" t="s">
        <v>862</v>
      </c>
      <c r="AZ92" s="2019"/>
      <c r="BA92" s="2019"/>
      <c r="BB92" s="2020"/>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0"/>
      <c r="C93" s="1951"/>
      <c r="D93" s="1951"/>
      <c r="E93" s="1951"/>
      <c r="F93" s="1951"/>
      <c r="G93" s="1951"/>
      <c r="H93" s="1951"/>
      <c r="I93" s="1951" t="s">
        <v>2006</v>
      </c>
      <c r="J93" s="1951"/>
      <c r="K93" s="1951"/>
      <c r="L93" s="1951"/>
      <c r="M93" s="1951"/>
      <c r="N93" s="1951"/>
      <c r="O93" s="1951" t="s">
        <v>2007</v>
      </c>
      <c r="P93" s="1951"/>
      <c r="Q93" s="1951"/>
      <c r="R93" s="1951"/>
      <c r="S93" s="1951"/>
      <c r="T93" s="1951"/>
      <c r="U93" s="1951"/>
      <c r="V93" s="2023" t="s">
        <v>2008</v>
      </c>
      <c r="W93" s="2023"/>
      <c r="X93" s="2023"/>
      <c r="Y93" s="2023"/>
      <c r="Z93" s="2023"/>
      <c r="AA93" s="2023"/>
      <c r="AB93" s="2024" t="s">
        <v>2009</v>
      </c>
      <c r="AC93" s="2024"/>
      <c r="AD93" s="2024"/>
      <c r="AE93" s="2024"/>
      <c r="AF93" s="2024"/>
      <c r="AG93" s="2024"/>
      <c r="AH93" s="2025"/>
      <c r="AI93" s="1097"/>
      <c r="AJ93" s="2017"/>
      <c r="AK93" s="2018"/>
      <c r="AL93" s="2018"/>
      <c r="AM93" s="2018"/>
      <c r="AN93" s="2018"/>
      <c r="AO93" s="2018"/>
      <c r="AP93" s="2018"/>
      <c r="AQ93" s="2018"/>
      <c r="AR93" s="2018"/>
      <c r="AS93" s="2018"/>
      <c r="AT93" s="2018"/>
      <c r="AU93" s="2018"/>
      <c r="AV93" s="2018"/>
      <c r="AW93" s="2018"/>
      <c r="AX93" s="2018"/>
      <c r="AY93" s="2021"/>
      <c r="AZ93" s="2021"/>
      <c r="BA93" s="2021"/>
      <c r="BB93" s="2022"/>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0"/>
      <c r="C94" s="1951"/>
      <c r="D94" s="1951"/>
      <c r="E94" s="1951"/>
      <c r="F94" s="1951"/>
      <c r="G94" s="1951"/>
      <c r="H94" s="1951"/>
      <c r="I94" s="1951"/>
      <c r="J94" s="1951"/>
      <c r="K94" s="1951"/>
      <c r="L94" s="1951"/>
      <c r="M94" s="1951"/>
      <c r="N94" s="1951"/>
      <c r="O94" s="1951"/>
      <c r="P94" s="1951"/>
      <c r="Q94" s="1951"/>
      <c r="R94" s="1951"/>
      <c r="S94" s="1951"/>
      <c r="T94" s="1951"/>
      <c r="U94" s="1951"/>
      <c r="V94" s="2023"/>
      <c r="W94" s="2023"/>
      <c r="X94" s="2023"/>
      <c r="Y94" s="2023"/>
      <c r="Z94" s="2023"/>
      <c r="AA94" s="2023"/>
      <c r="AB94" s="2024"/>
      <c r="AC94" s="2024"/>
      <c r="AD94" s="2024"/>
      <c r="AE94" s="2024"/>
      <c r="AF94" s="2024"/>
      <c r="AG94" s="2024"/>
      <c r="AH94" s="2025"/>
      <c r="AI94" s="1097"/>
      <c r="AJ94" s="2017"/>
      <c r="AK94" s="2018"/>
      <c r="AL94" s="2018"/>
      <c r="AM94" s="2018"/>
      <c r="AN94" s="2018"/>
      <c r="AO94" s="2018"/>
      <c r="AP94" s="2018"/>
      <c r="AQ94" s="2018"/>
      <c r="AR94" s="2018"/>
      <c r="AS94" s="2018"/>
      <c r="AT94" s="2018"/>
      <c r="AU94" s="2018"/>
      <c r="AV94" s="2018"/>
      <c r="AW94" s="2018"/>
      <c r="AX94" s="2018"/>
      <c r="AY94" s="2021"/>
      <c r="AZ94" s="2021"/>
      <c r="BA94" s="2021"/>
      <c r="BB94" s="2022"/>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0" t="s">
        <v>2010</v>
      </c>
      <c r="C95" s="1951"/>
      <c r="D95" s="1951"/>
      <c r="E95" s="1951"/>
      <c r="F95" s="1951"/>
      <c r="G95" s="1951"/>
      <c r="H95" s="1951"/>
      <c r="I95" s="2028">
        <v>0</v>
      </c>
      <c r="J95" s="2028"/>
      <c r="K95" s="2028"/>
      <c r="L95" s="2028"/>
      <c r="M95" s="2028"/>
      <c r="N95" s="2028"/>
      <c r="O95" s="2028">
        <v>0</v>
      </c>
      <c r="P95" s="2028"/>
      <c r="Q95" s="2028"/>
      <c r="R95" s="2028"/>
      <c r="S95" s="2028"/>
      <c r="T95" s="2028"/>
      <c r="U95" s="2028"/>
      <c r="V95" s="2028">
        <v>0</v>
      </c>
      <c r="W95" s="2028"/>
      <c r="X95" s="2028"/>
      <c r="Y95" s="2028"/>
      <c r="Z95" s="2028"/>
      <c r="AA95" s="2028"/>
      <c r="AB95" s="2028">
        <v>0</v>
      </c>
      <c r="AC95" s="2028"/>
      <c r="AD95" s="2028"/>
      <c r="AE95" s="2028"/>
      <c r="AF95" s="2028"/>
      <c r="AG95" s="2028"/>
      <c r="AH95" s="2029"/>
      <c r="AI95" s="1097"/>
      <c r="AJ95" s="2017"/>
      <c r="AK95" s="2018"/>
      <c r="AL95" s="2018"/>
      <c r="AM95" s="2018"/>
      <c r="AN95" s="2018"/>
      <c r="AO95" s="2018"/>
      <c r="AP95" s="2018"/>
      <c r="AQ95" s="2018"/>
      <c r="AR95" s="2018"/>
      <c r="AS95" s="2018"/>
      <c r="AT95" s="2018"/>
      <c r="AU95" s="2018"/>
      <c r="AV95" s="2018"/>
      <c r="AW95" s="2018"/>
      <c r="AX95" s="2018"/>
      <c r="AY95" s="2021"/>
      <c r="AZ95" s="2021"/>
      <c r="BA95" s="2021"/>
      <c r="BB95" s="2022"/>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0" t="s">
        <v>2011</v>
      </c>
      <c r="C96" s="1951"/>
      <c r="D96" s="1951"/>
      <c r="E96" s="1951"/>
      <c r="F96" s="1951"/>
      <c r="G96" s="1951"/>
      <c r="H96" s="1951"/>
      <c r="I96" s="2028">
        <v>0</v>
      </c>
      <c r="J96" s="2028"/>
      <c r="K96" s="2028"/>
      <c r="L96" s="2028"/>
      <c r="M96" s="2028"/>
      <c r="N96" s="2028"/>
      <c r="O96" s="2028">
        <v>0</v>
      </c>
      <c r="P96" s="2028"/>
      <c r="Q96" s="2028"/>
      <c r="R96" s="2028"/>
      <c r="S96" s="2028"/>
      <c r="T96" s="2028"/>
      <c r="U96" s="2028"/>
      <c r="V96" s="2028">
        <v>0</v>
      </c>
      <c r="W96" s="2028"/>
      <c r="X96" s="2028"/>
      <c r="Y96" s="2028"/>
      <c r="Z96" s="2028"/>
      <c r="AA96" s="2028"/>
      <c r="AB96" s="2028">
        <v>0</v>
      </c>
      <c r="AC96" s="2028"/>
      <c r="AD96" s="2028"/>
      <c r="AE96" s="2028"/>
      <c r="AF96" s="2028"/>
      <c r="AG96" s="2028"/>
      <c r="AH96" s="2029"/>
      <c r="AI96" s="1097"/>
      <c r="AJ96" s="1998" t="s">
        <v>2012</v>
      </c>
      <c r="AK96" s="1999"/>
      <c r="AL96" s="1999"/>
      <c r="AM96" s="1999"/>
      <c r="AN96" s="1999"/>
      <c r="AO96" s="1999"/>
      <c r="AP96" s="1999"/>
      <c r="AQ96" s="1999"/>
      <c r="AR96" s="1999"/>
      <c r="AS96" s="1999"/>
      <c r="AT96" s="1999"/>
      <c r="AU96" s="1999"/>
      <c r="AV96" s="1999"/>
      <c r="AW96" s="1999"/>
      <c r="AX96" s="1999"/>
      <c r="AY96" s="1999"/>
      <c r="AZ96" s="1999"/>
      <c r="BA96" s="1999"/>
      <c r="BB96" s="2000"/>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8" t="s">
        <v>2013</v>
      </c>
      <c r="C97" s="1969"/>
      <c r="D97" s="1969"/>
      <c r="E97" s="1969"/>
      <c r="F97" s="1969"/>
      <c r="G97" s="1969"/>
      <c r="H97" s="1969"/>
      <c r="I97" s="2026">
        <v>0</v>
      </c>
      <c r="J97" s="2026"/>
      <c r="K97" s="2026"/>
      <c r="L97" s="2026"/>
      <c r="M97" s="2026"/>
      <c r="N97" s="2026"/>
      <c r="O97" s="2026">
        <v>0</v>
      </c>
      <c r="P97" s="2026"/>
      <c r="Q97" s="2026"/>
      <c r="R97" s="2026"/>
      <c r="S97" s="2026"/>
      <c r="T97" s="2026"/>
      <c r="U97" s="2026"/>
      <c r="V97" s="2026">
        <v>0</v>
      </c>
      <c r="W97" s="2026"/>
      <c r="X97" s="2026"/>
      <c r="Y97" s="2026"/>
      <c r="Z97" s="2026"/>
      <c r="AA97" s="2026"/>
      <c r="AB97" s="2026">
        <v>0</v>
      </c>
      <c r="AC97" s="2026"/>
      <c r="AD97" s="2026"/>
      <c r="AE97" s="2026"/>
      <c r="AF97" s="2026"/>
      <c r="AG97" s="2026"/>
      <c r="AH97" s="2027"/>
      <c r="AI97" s="1097"/>
      <c r="AJ97" s="2001"/>
      <c r="AK97" s="2002"/>
      <c r="AL97" s="2002"/>
      <c r="AM97" s="2002"/>
      <c r="AN97" s="2002"/>
      <c r="AO97" s="2002"/>
      <c r="AP97" s="2002"/>
      <c r="AQ97" s="2002"/>
      <c r="AR97" s="2002"/>
      <c r="AS97" s="2002"/>
      <c r="AT97" s="2002"/>
      <c r="AU97" s="2002"/>
      <c r="AV97" s="2002"/>
      <c r="AW97" s="2002"/>
      <c r="AX97" s="2002"/>
      <c r="AY97" s="2002"/>
      <c r="AZ97" s="2002"/>
      <c r="BA97" s="2002"/>
      <c r="BB97" s="2003"/>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2017</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2003</v>
      </c>
      <c r="C100" s="1120"/>
      <c r="D100" s="1127"/>
      <c r="E100" s="1128"/>
      <c r="F100" s="2030"/>
      <c r="G100" s="2031"/>
      <c r="H100" s="2031"/>
      <c r="I100" s="2031"/>
      <c r="J100" s="2031"/>
      <c r="K100" s="2031"/>
      <c r="L100" s="2031"/>
      <c r="M100" s="2031"/>
      <c r="N100" s="2031"/>
      <c r="O100" s="2031"/>
      <c r="P100" s="2031"/>
      <c r="Q100" s="2031"/>
      <c r="R100" s="2032"/>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4" t="s">
        <v>2018</v>
      </c>
      <c r="C102" s="1995"/>
      <c r="D102" s="1995"/>
      <c r="E102" s="1995"/>
      <c r="F102" s="1995"/>
      <c r="G102" s="1995"/>
      <c r="H102" s="1995"/>
      <c r="I102" s="1995"/>
      <c r="J102" s="1995"/>
      <c r="K102" s="1995"/>
      <c r="L102" s="1995"/>
      <c r="M102" s="1995"/>
      <c r="N102" s="1995"/>
      <c r="O102" s="1995"/>
      <c r="P102" s="1995"/>
      <c r="Q102" s="1995"/>
      <c r="R102" s="1995"/>
      <c r="S102" s="1995"/>
      <c r="T102" s="1995"/>
      <c r="U102" s="1995"/>
      <c r="V102" s="1995"/>
      <c r="W102" s="1995"/>
      <c r="X102" s="1995"/>
      <c r="Y102" s="1995"/>
      <c r="Z102" s="1995"/>
      <c r="AA102" s="1995"/>
      <c r="AB102" s="1995"/>
      <c r="AC102" s="1995"/>
      <c r="AD102" s="1995"/>
      <c r="AE102" s="1995"/>
      <c r="AF102" s="1995"/>
      <c r="AG102" s="1995"/>
      <c r="AH102" s="2033"/>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0"/>
      <c r="C103" s="1951"/>
      <c r="D103" s="1951"/>
      <c r="E103" s="1951"/>
      <c r="F103" s="1951"/>
      <c r="G103" s="1951"/>
      <c r="H103" s="1951"/>
      <c r="I103" s="1951" t="s">
        <v>2006</v>
      </c>
      <c r="J103" s="1951"/>
      <c r="K103" s="1951"/>
      <c r="L103" s="1951"/>
      <c r="M103" s="1951"/>
      <c r="N103" s="1951"/>
      <c r="O103" s="1951" t="s">
        <v>2007</v>
      </c>
      <c r="P103" s="1951"/>
      <c r="Q103" s="1951"/>
      <c r="R103" s="1951"/>
      <c r="S103" s="1951"/>
      <c r="T103" s="1951"/>
      <c r="U103" s="1951"/>
      <c r="V103" s="2023" t="s">
        <v>2008</v>
      </c>
      <c r="W103" s="2023"/>
      <c r="X103" s="2023"/>
      <c r="Y103" s="2023"/>
      <c r="Z103" s="2023"/>
      <c r="AA103" s="2023"/>
      <c r="AB103" s="2024" t="s">
        <v>2009</v>
      </c>
      <c r="AC103" s="2024"/>
      <c r="AD103" s="2024"/>
      <c r="AE103" s="2024"/>
      <c r="AF103" s="2024"/>
      <c r="AG103" s="2024"/>
      <c r="AH103" s="2025"/>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0"/>
      <c r="C104" s="1951"/>
      <c r="D104" s="1951"/>
      <c r="E104" s="1951"/>
      <c r="F104" s="1951"/>
      <c r="G104" s="1951"/>
      <c r="H104" s="1951"/>
      <c r="I104" s="1951"/>
      <c r="J104" s="1951"/>
      <c r="K104" s="1951"/>
      <c r="L104" s="1951"/>
      <c r="M104" s="1951"/>
      <c r="N104" s="1951"/>
      <c r="O104" s="1951"/>
      <c r="P104" s="1951"/>
      <c r="Q104" s="1951"/>
      <c r="R104" s="1951"/>
      <c r="S104" s="1951"/>
      <c r="T104" s="1951"/>
      <c r="U104" s="1951"/>
      <c r="V104" s="2023"/>
      <c r="W104" s="2023"/>
      <c r="X104" s="2023"/>
      <c r="Y104" s="2023"/>
      <c r="Z104" s="2023"/>
      <c r="AA104" s="2023"/>
      <c r="AB104" s="2024"/>
      <c r="AC104" s="2024"/>
      <c r="AD104" s="2024"/>
      <c r="AE104" s="2024"/>
      <c r="AF104" s="2024"/>
      <c r="AG104" s="2024"/>
      <c r="AH104" s="2025"/>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0" t="s">
        <v>2010</v>
      </c>
      <c r="C105" s="1951"/>
      <c r="D105" s="1951"/>
      <c r="E105" s="1951"/>
      <c r="F105" s="1951"/>
      <c r="G105" s="1951"/>
      <c r="H105" s="1951"/>
      <c r="I105" s="2028">
        <v>0</v>
      </c>
      <c r="J105" s="2028"/>
      <c r="K105" s="2028"/>
      <c r="L105" s="2028"/>
      <c r="M105" s="2028"/>
      <c r="N105" s="2028"/>
      <c r="O105" s="2028">
        <v>0</v>
      </c>
      <c r="P105" s="2028"/>
      <c r="Q105" s="2028"/>
      <c r="R105" s="2028"/>
      <c r="S105" s="2028"/>
      <c r="T105" s="2028"/>
      <c r="U105" s="2028"/>
      <c r="V105" s="2028">
        <v>0</v>
      </c>
      <c r="W105" s="2028"/>
      <c r="X105" s="2028"/>
      <c r="Y105" s="2028"/>
      <c r="Z105" s="2028"/>
      <c r="AA105" s="2028"/>
      <c r="AB105" s="2028">
        <v>0</v>
      </c>
      <c r="AC105" s="2028"/>
      <c r="AD105" s="2028"/>
      <c r="AE105" s="2028"/>
      <c r="AF105" s="2028"/>
      <c r="AG105" s="2028"/>
      <c r="AH105" s="2029"/>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0" t="s">
        <v>2011</v>
      </c>
      <c r="C106" s="1951"/>
      <c r="D106" s="1951"/>
      <c r="E106" s="1951"/>
      <c r="F106" s="1951"/>
      <c r="G106" s="1951"/>
      <c r="H106" s="1951"/>
      <c r="I106" s="2028">
        <v>0</v>
      </c>
      <c r="J106" s="2028"/>
      <c r="K106" s="2028"/>
      <c r="L106" s="2028"/>
      <c r="M106" s="2028"/>
      <c r="N106" s="2028"/>
      <c r="O106" s="2028">
        <v>0</v>
      </c>
      <c r="P106" s="2028"/>
      <c r="Q106" s="2028"/>
      <c r="R106" s="2028"/>
      <c r="S106" s="2028"/>
      <c r="T106" s="2028"/>
      <c r="U106" s="2028"/>
      <c r="V106" s="2028">
        <v>0</v>
      </c>
      <c r="W106" s="2028"/>
      <c r="X106" s="2028"/>
      <c r="Y106" s="2028"/>
      <c r="Z106" s="2028"/>
      <c r="AA106" s="2028"/>
      <c r="AB106" s="2028">
        <v>0</v>
      </c>
      <c r="AC106" s="2028"/>
      <c r="AD106" s="2028"/>
      <c r="AE106" s="2028"/>
      <c r="AF106" s="2028"/>
      <c r="AG106" s="2028"/>
      <c r="AH106" s="2029"/>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8" t="s">
        <v>2013</v>
      </c>
      <c r="C107" s="1969"/>
      <c r="D107" s="1969"/>
      <c r="E107" s="1969"/>
      <c r="F107" s="1969"/>
      <c r="G107" s="1969"/>
      <c r="H107" s="1969"/>
      <c r="I107" s="2026">
        <v>0</v>
      </c>
      <c r="J107" s="2026"/>
      <c r="K107" s="2026"/>
      <c r="L107" s="2026"/>
      <c r="M107" s="2026"/>
      <c r="N107" s="2026"/>
      <c r="O107" s="2026">
        <v>0</v>
      </c>
      <c r="P107" s="2026"/>
      <c r="Q107" s="2026"/>
      <c r="R107" s="2026"/>
      <c r="S107" s="2026"/>
      <c r="T107" s="2026"/>
      <c r="U107" s="2026"/>
      <c r="V107" s="2026">
        <v>0</v>
      </c>
      <c r="W107" s="2026"/>
      <c r="X107" s="2026"/>
      <c r="Y107" s="2026"/>
      <c r="Z107" s="2026"/>
      <c r="AA107" s="2026"/>
      <c r="AB107" s="2026">
        <v>0</v>
      </c>
      <c r="AC107" s="2026"/>
      <c r="AD107" s="2026"/>
      <c r="AE107" s="2026"/>
      <c r="AF107" s="2026"/>
      <c r="AG107" s="2026"/>
      <c r="AH107" s="2027"/>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2019</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2003</v>
      </c>
      <c r="C110" s="1120"/>
      <c r="D110" s="1127"/>
      <c r="E110" s="1128"/>
      <c r="F110" s="2030"/>
      <c r="G110" s="2031"/>
      <c r="H110" s="2031"/>
      <c r="I110" s="2031"/>
      <c r="J110" s="2031"/>
      <c r="K110" s="2031"/>
      <c r="L110" s="2031"/>
      <c r="M110" s="2031"/>
      <c r="N110" s="2031"/>
      <c r="O110" s="2031"/>
      <c r="P110" s="2031"/>
      <c r="Q110" s="2031"/>
      <c r="R110" s="2032"/>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4" t="s">
        <v>2020</v>
      </c>
      <c r="C112" s="2035"/>
      <c r="D112" s="2035"/>
      <c r="E112" s="2035"/>
      <c r="F112" s="2035"/>
      <c r="G112" s="2035"/>
      <c r="H112" s="2035"/>
      <c r="I112" s="2035"/>
      <c r="J112" s="2035"/>
      <c r="K112" s="2035"/>
      <c r="L112" s="2035"/>
      <c r="M112" s="2035"/>
      <c r="N112" s="2035"/>
      <c r="O112" s="2035"/>
      <c r="P112" s="2035"/>
      <c r="Q112" s="2035"/>
      <c r="R112" s="2035"/>
      <c r="S112" s="2035"/>
      <c r="T112" s="2035"/>
      <c r="U112" s="2038" t="s">
        <v>862</v>
      </c>
      <c r="V112" s="2038"/>
      <c r="W112" s="2038"/>
      <c r="X112" s="2039"/>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6"/>
      <c r="C113" s="2037"/>
      <c r="D113" s="2037"/>
      <c r="E113" s="2037"/>
      <c r="F113" s="2037"/>
      <c r="G113" s="2037"/>
      <c r="H113" s="2037"/>
      <c r="I113" s="2037"/>
      <c r="J113" s="2037"/>
      <c r="K113" s="2037"/>
      <c r="L113" s="2037"/>
      <c r="M113" s="2037"/>
      <c r="N113" s="2037"/>
      <c r="O113" s="2037"/>
      <c r="P113" s="2037"/>
      <c r="Q113" s="2037"/>
      <c r="R113" s="2037"/>
      <c r="S113" s="2037"/>
      <c r="T113" s="2037"/>
      <c r="U113" s="2040"/>
      <c r="V113" s="2040"/>
      <c r="W113" s="2040"/>
      <c r="X113" s="2041"/>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6"/>
      <c r="C114" s="2037"/>
      <c r="D114" s="2037"/>
      <c r="E114" s="2037"/>
      <c r="F114" s="2037"/>
      <c r="G114" s="2037"/>
      <c r="H114" s="2037"/>
      <c r="I114" s="2037"/>
      <c r="J114" s="2037"/>
      <c r="K114" s="2037"/>
      <c r="L114" s="2037"/>
      <c r="M114" s="2037"/>
      <c r="N114" s="2037"/>
      <c r="O114" s="2037"/>
      <c r="P114" s="2037"/>
      <c r="Q114" s="2037"/>
      <c r="R114" s="2037"/>
      <c r="S114" s="2037"/>
      <c r="T114" s="2037"/>
      <c r="U114" s="2040"/>
      <c r="V114" s="2040"/>
      <c r="W114" s="2040"/>
      <c r="X114" s="2041"/>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6"/>
      <c r="C115" s="2037"/>
      <c r="D115" s="2037"/>
      <c r="E115" s="2037"/>
      <c r="F115" s="2037"/>
      <c r="G115" s="2037"/>
      <c r="H115" s="2037"/>
      <c r="I115" s="2037"/>
      <c r="J115" s="2037"/>
      <c r="K115" s="2037"/>
      <c r="L115" s="2037"/>
      <c r="M115" s="2037"/>
      <c r="N115" s="2037"/>
      <c r="O115" s="2037"/>
      <c r="P115" s="2037"/>
      <c r="Q115" s="2037"/>
      <c r="R115" s="2037"/>
      <c r="S115" s="2037"/>
      <c r="T115" s="2037"/>
      <c r="U115" s="2040"/>
      <c r="V115" s="2040"/>
      <c r="W115" s="2040"/>
      <c r="X115" s="2041"/>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2" t="s">
        <v>2020</v>
      </c>
      <c r="C116" s="2043"/>
      <c r="D116" s="2043"/>
      <c r="E116" s="2043"/>
      <c r="F116" s="2043"/>
      <c r="G116" s="2043"/>
      <c r="H116" s="2043"/>
      <c r="I116" s="2043"/>
      <c r="J116" s="2043"/>
      <c r="K116" s="2043"/>
      <c r="L116" s="2043"/>
      <c r="M116" s="2043"/>
      <c r="N116" s="2043"/>
      <c r="O116" s="2043"/>
      <c r="P116" s="2043"/>
      <c r="Q116" s="2043"/>
      <c r="R116" s="2043"/>
      <c r="S116" s="2043"/>
      <c r="T116" s="2043"/>
      <c r="U116" s="2046" t="s">
        <v>862</v>
      </c>
      <c r="V116" s="2046"/>
      <c r="W116" s="2046"/>
      <c r="X116" s="2047"/>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4"/>
      <c r="C117" s="2045"/>
      <c r="D117" s="2045"/>
      <c r="E117" s="2045"/>
      <c r="F117" s="2045"/>
      <c r="G117" s="2045"/>
      <c r="H117" s="2045"/>
      <c r="I117" s="2045"/>
      <c r="J117" s="2045"/>
      <c r="K117" s="2045"/>
      <c r="L117" s="2045"/>
      <c r="M117" s="2045"/>
      <c r="N117" s="2045"/>
      <c r="O117" s="2045"/>
      <c r="P117" s="2045"/>
      <c r="Q117" s="2045"/>
      <c r="R117" s="2045"/>
      <c r="S117" s="2045"/>
      <c r="T117" s="2045"/>
      <c r="U117" s="2048"/>
      <c r="V117" s="2048"/>
      <c r="W117" s="2048"/>
      <c r="X117" s="2049"/>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2021</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5" t="s">
        <v>2022</v>
      </c>
      <c r="Y120" s="2016"/>
      <c r="Z120" s="2016"/>
      <c r="AA120" s="2016"/>
      <c r="AB120" s="2016"/>
      <c r="AC120" s="2016"/>
      <c r="AD120" s="2016"/>
      <c r="AE120" s="2016"/>
      <c r="AF120" s="2016"/>
      <c r="AG120" s="2016"/>
      <c r="AH120" s="2016"/>
      <c r="AI120" s="2016"/>
      <c r="AJ120" s="2016"/>
      <c r="AK120" s="2016"/>
      <c r="AL120" s="2016"/>
      <c r="AM120" s="2016"/>
      <c r="AN120" s="2016"/>
      <c r="AO120" s="2016"/>
      <c r="AP120" s="2016"/>
      <c r="AQ120" s="2016"/>
      <c r="AR120" s="2016"/>
      <c r="AS120" s="2016"/>
      <c r="AT120" s="2016"/>
      <c r="AU120" s="2016"/>
      <c r="AV120" s="2016"/>
      <c r="AW120" s="2016"/>
      <c r="AX120" s="2016"/>
      <c r="AY120" s="2016"/>
      <c r="AZ120" s="2016"/>
      <c r="BA120" s="2016"/>
      <c r="BB120" s="2016"/>
      <c r="BC120" s="2016"/>
      <c r="BD120" s="2056"/>
      <c r="BE120" s="1101"/>
    </row>
    <row r="121" spans="1:57" ht="15.75" customHeight="1">
      <c r="A121" s="1097"/>
      <c r="B121" s="2058" t="s">
        <v>2023</v>
      </c>
      <c r="C121" s="2059"/>
      <c r="D121" s="2059"/>
      <c r="E121" s="2059"/>
      <c r="F121" s="2059"/>
      <c r="G121" s="2059"/>
      <c r="H121" s="2059"/>
      <c r="I121" s="2059"/>
      <c r="J121" s="2059"/>
      <c r="K121" s="2059"/>
      <c r="L121" s="2059"/>
      <c r="M121" s="2059"/>
      <c r="N121" s="2059"/>
      <c r="O121" s="2059"/>
      <c r="P121" s="2059"/>
      <c r="Q121" s="2059"/>
      <c r="R121" s="2059"/>
      <c r="S121" s="2059"/>
      <c r="T121" s="2059"/>
      <c r="U121" s="2060"/>
      <c r="V121" s="1097"/>
      <c r="W121" s="1097"/>
      <c r="X121" s="2017"/>
      <c r="Y121" s="2018"/>
      <c r="Z121" s="2018"/>
      <c r="AA121" s="2018"/>
      <c r="AB121" s="2018"/>
      <c r="AC121" s="2018"/>
      <c r="AD121" s="2018"/>
      <c r="AE121" s="2018"/>
      <c r="AF121" s="2018"/>
      <c r="AG121" s="2018"/>
      <c r="AH121" s="2018"/>
      <c r="AI121" s="2018"/>
      <c r="AJ121" s="2018"/>
      <c r="AK121" s="2018"/>
      <c r="AL121" s="2018"/>
      <c r="AM121" s="2018"/>
      <c r="AN121" s="2018"/>
      <c r="AO121" s="2018"/>
      <c r="AP121" s="2018"/>
      <c r="AQ121" s="2018"/>
      <c r="AR121" s="2018"/>
      <c r="AS121" s="2018"/>
      <c r="AT121" s="2018"/>
      <c r="AU121" s="2018"/>
      <c r="AV121" s="2018"/>
      <c r="AW121" s="2018"/>
      <c r="AX121" s="2018"/>
      <c r="AY121" s="2018"/>
      <c r="AZ121" s="2018"/>
      <c r="BA121" s="2018"/>
      <c r="BB121" s="2018"/>
      <c r="BC121" s="2018"/>
      <c r="BD121" s="2057"/>
      <c r="BE121" s="1101"/>
    </row>
    <row r="122" spans="1:57" ht="15.75" customHeight="1">
      <c r="A122" s="1097"/>
      <c r="B122" s="2076"/>
      <c r="C122" s="2077"/>
      <c r="D122" s="2077"/>
      <c r="E122" s="2077"/>
      <c r="F122" s="2077"/>
      <c r="G122" s="2077"/>
      <c r="H122" s="2077"/>
      <c r="I122" s="1951" t="s">
        <v>2024</v>
      </c>
      <c r="J122" s="1951"/>
      <c r="K122" s="1951"/>
      <c r="L122" s="1951"/>
      <c r="M122" s="1951"/>
      <c r="N122" s="1951"/>
      <c r="O122" s="2080" t="s">
        <v>2025</v>
      </c>
      <c r="P122" s="2080"/>
      <c r="Q122" s="2080"/>
      <c r="R122" s="2080"/>
      <c r="S122" s="2080"/>
      <c r="T122" s="2080"/>
      <c r="U122" s="2081"/>
      <c r="V122" s="1097"/>
      <c r="W122" s="1097"/>
      <c r="X122" s="1998" t="s">
        <v>2001</v>
      </c>
      <c r="Y122" s="1999"/>
      <c r="Z122" s="1999"/>
      <c r="AA122" s="1999"/>
      <c r="AB122" s="1999"/>
      <c r="AC122" s="1999"/>
      <c r="AD122" s="1999"/>
      <c r="AE122" s="1999"/>
      <c r="AF122" s="1999"/>
      <c r="AG122" s="1999"/>
      <c r="AH122" s="1999"/>
      <c r="AI122" s="1999"/>
      <c r="AJ122" s="1999"/>
      <c r="AK122" s="1999"/>
      <c r="AL122" s="1999"/>
      <c r="AM122" s="1999"/>
      <c r="AN122" s="1999"/>
      <c r="AO122" s="1999"/>
      <c r="AP122" s="1999"/>
      <c r="AQ122" s="1999"/>
      <c r="AR122" s="1999"/>
      <c r="AS122" s="1999"/>
      <c r="AT122" s="1999"/>
      <c r="AU122" s="1999"/>
      <c r="AV122" s="1999"/>
      <c r="AW122" s="1999"/>
      <c r="AX122" s="1999"/>
      <c r="AY122" s="1999"/>
      <c r="AZ122" s="1999"/>
      <c r="BA122" s="1999"/>
      <c r="BB122" s="1999"/>
      <c r="BC122" s="1999"/>
      <c r="BD122" s="2000"/>
      <c r="BE122" s="1101"/>
    </row>
    <row r="123" spans="1:57" ht="15.75" customHeight="1">
      <c r="A123" s="1097"/>
      <c r="B123" s="2050" t="s">
        <v>2026</v>
      </c>
      <c r="C123" s="2051"/>
      <c r="D123" s="2051"/>
      <c r="E123" s="2051"/>
      <c r="F123" s="2051"/>
      <c r="G123" s="2051"/>
      <c r="H123" s="2051"/>
      <c r="I123" s="2028">
        <v>0</v>
      </c>
      <c r="J123" s="2028"/>
      <c r="K123" s="2028"/>
      <c r="L123" s="2028"/>
      <c r="M123" s="2028"/>
      <c r="N123" s="2028"/>
      <c r="O123" s="2028">
        <v>0</v>
      </c>
      <c r="P123" s="2028"/>
      <c r="Q123" s="2028"/>
      <c r="R123" s="2028"/>
      <c r="S123" s="2028"/>
      <c r="T123" s="2028"/>
      <c r="U123" s="2029"/>
      <c r="V123" s="1097"/>
      <c r="W123" s="1097"/>
      <c r="X123" s="1998"/>
      <c r="Y123" s="1999"/>
      <c r="Z123" s="1999"/>
      <c r="AA123" s="1999"/>
      <c r="AB123" s="1999"/>
      <c r="AC123" s="1999"/>
      <c r="AD123" s="1999"/>
      <c r="AE123" s="1999"/>
      <c r="AF123" s="1999"/>
      <c r="AG123" s="1999"/>
      <c r="AH123" s="1999"/>
      <c r="AI123" s="1999"/>
      <c r="AJ123" s="1999"/>
      <c r="AK123" s="1999"/>
      <c r="AL123" s="1999"/>
      <c r="AM123" s="1999"/>
      <c r="AN123" s="1999"/>
      <c r="AO123" s="1999"/>
      <c r="AP123" s="1999"/>
      <c r="AQ123" s="1999"/>
      <c r="AR123" s="1999"/>
      <c r="AS123" s="1999"/>
      <c r="AT123" s="1999"/>
      <c r="AU123" s="1999"/>
      <c r="AV123" s="1999"/>
      <c r="AW123" s="1999"/>
      <c r="AX123" s="1999"/>
      <c r="AY123" s="1999"/>
      <c r="AZ123" s="1999"/>
      <c r="BA123" s="1999"/>
      <c r="BB123" s="1999"/>
      <c r="BC123" s="1999"/>
      <c r="BD123" s="2000"/>
      <c r="BE123" s="1101"/>
    </row>
    <row r="124" spans="1:57" ht="15.75" customHeight="1" thickBot="1">
      <c r="A124" s="1097"/>
      <c r="B124" s="2052" t="s">
        <v>2027</v>
      </c>
      <c r="C124" s="2053"/>
      <c r="D124" s="2053"/>
      <c r="E124" s="2053"/>
      <c r="F124" s="2053"/>
      <c r="G124" s="2053"/>
      <c r="H124" s="2053"/>
      <c r="I124" s="2026">
        <v>0</v>
      </c>
      <c r="J124" s="2026"/>
      <c r="K124" s="2026"/>
      <c r="L124" s="2026"/>
      <c r="M124" s="2026"/>
      <c r="N124" s="2026"/>
      <c r="O124" s="2054"/>
      <c r="P124" s="2054"/>
      <c r="Q124" s="2054"/>
      <c r="R124" s="2054"/>
      <c r="S124" s="2054"/>
      <c r="T124" s="2054"/>
      <c r="U124" s="2055"/>
      <c r="V124" s="1097"/>
      <c r="W124" s="1097"/>
      <c r="X124" s="1998"/>
      <c r="Y124" s="1999"/>
      <c r="Z124" s="1999"/>
      <c r="AA124" s="1999"/>
      <c r="AB124" s="1999"/>
      <c r="AC124" s="1999"/>
      <c r="AD124" s="1999"/>
      <c r="AE124" s="1999"/>
      <c r="AF124" s="1999"/>
      <c r="AG124" s="1999"/>
      <c r="AH124" s="1999"/>
      <c r="AI124" s="1999"/>
      <c r="AJ124" s="1999"/>
      <c r="AK124" s="1999"/>
      <c r="AL124" s="1999"/>
      <c r="AM124" s="1999"/>
      <c r="AN124" s="1999"/>
      <c r="AO124" s="1999"/>
      <c r="AP124" s="1999"/>
      <c r="AQ124" s="1999"/>
      <c r="AR124" s="1999"/>
      <c r="AS124" s="1999"/>
      <c r="AT124" s="1999"/>
      <c r="AU124" s="1999"/>
      <c r="AV124" s="1999"/>
      <c r="AW124" s="1999"/>
      <c r="AX124" s="1999"/>
      <c r="AY124" s="1999"/>
      <c r="AZ124" s="1999"/>
      <c r="BA124" s="1999"/>
      <c r="BB124" s="1999"/>
      <c r="BC124" s="1999"/>
      <c r="BD124" s="2000"/>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8"/>
      <c r="Y125" s="1999"/>
      <c r="Z125" s="1999"/>
      <c r="AA125" s="1999"/>
      <c r="AB125" s="1999"/>
      <c r="AC125" s="1999"/>
      <c r="AD125" s="1999"/>
      <c r="AE125" s="1999"/>
      <c r="AF125" s="1999"/>
      <c r="AG125" s="1999"/>
      <c r="AH125" s="1999"/>
      <c r="AI125" s="1999"/>
      <c r="AJ125" s="1999"/>
      <c r="AK125" s="1999"/>
      <c r="AL125" s="1999"/>
      <c r="AM125" s="1999"/>
      <c r="AN125" s="1999"/>
      <c r="AO125" s="1999"/>
      <c r="AP125" s="1999"/>
      <c r="AQ125" s="1999"/>
      <c r="AR125" s="1999"/>
      <c r="AS125" s="1999"/>
      <c r="AT125" s="1999"/>
      <c r="AU125" s="1999"/>
      <c r="AV125" s="1999"/>
      <c r="AW125" s="1999"/>
      <c r="AX125" s="1999"/>
      <c r="AY125" s="1999"/>
      <c r="AZ125" s="1999"/>
      <c r="BA125" s="1999"/>
      <c r="BB125" s="1999"/>
      <c r="BC125" s="1999"/>
      <c r="BD125" s="2000"/>
      <c r="BE125" s="1101"/>
    </row>
    <row r="126" spans="1:57" ht="15.75" customHeight="1" thickBot="1">
      <c r="A126" s="1097"/>
      <c r="B126" s="1117" t="s">
        <v>2028</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8"/>
      <c r="Y126" s="1999"/>
      <c r="Z126" s="1999"/>
      <c r="AA126" s="1999"/>
      <c r="AB126" s="1999"/>
      <c r="AC126" s="1999"/>
      <c r="AD126" s="1999"/>
      <c r="AE126" s="1999"/>
      <c r="AF126" s="1999"/>
      <c r="AG126" s="1999"/>
      <c r="AH126" s="1999"/>
      <c r="AI126" s="1999"/>
      <c r="AJ126" s="1999"/>
      <c r="AK126" s="1999"/>
      <c r="AL126" s="1999"/>
      <c r="AM126" s="1999"/>
      <c r="AN126" s="1999"/>
      <c r="AO126" s="1999"/>
      <c r="AP126" s="1999"/>
      <c r="AQ126" s="1999"/>
      <c r="AR126" s="1999"/>
      <c r="AS126" s="1999"/>
      <c r="AT126" s="1999"/>
      <c r="AU126" s="1999"/>
      <c r="AV126" s="1999"/>
      <c r="AW126" s="1999"/>
      <c r="AX126" s="1999"/>
      <c r="AY126" s="1999"/>
      <c r="AZ126" s="1999"/>
      <c r="BA126" s="1999"/>
      <c r="BB126" s="1999"/>
      <c r="BC126" s="1999"/>
      <c r="BD126" s="2000"/>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8"/>
      <c r="Y127" s="1999"/>
      <c r="Z127" s="1999"/>
      <c r="AA127" s="1999"/>
      <c r="AB127" s="1999"/>
      <c r="AC127" s="1999"/>
      <c r="AD127" s="1999"/>
      <c r="AE127" s="1999"/>
      <c r="AF127" s="1999"/>
      <c r="AG127" s="1999"/>
      <c r="AH127" s="1999"/>
      <c r="AI127" s="1999"/>
      <c r="AJ127" s="1999"/>
      <c r="AK127" s="1999"/>
      <c r="AL127" s="1999"/>
      <c r="AM127" s="1999"/>
      <c r="AN127" s="1999"/>
      <c r="AO127" s="1999"/>
      <c r="AP127" s="1999"/>
      <c r="AQ127" s="1999"/>
      <c r="AR127" s="1999"/>
      <c r="AS127" s="1999"/>
      <c r="AT127" s="1999"/>
      <c r="AU127" s="1999"/>
      <c r="AV127" s="1999"/>
      <c r="AW127" s="1999"/>
      <c r="AX127" s="1999"/>
      <c r="AY127" s="1999"/>
      <c r="AZ127" s="1999"/>
      <c r="BA127" s="1999"/>
      <c r="BB127" s="1999"/>
      <c r="BC127" s="1999"/>
      <c r="BD127" s="2000"/>
      <c r="BE127" s="1101"/>
    </row>
    <row r="128" spans="1:57" ht="15.75" customHeight="1">
      <c r="A128" s="1097"/>
      <c r="B128" s="1852" t="s">
        <v>2029</v>
      </c>
      <c r="C128" s="1853"/>
      <c r="D128" s="1853"/>
      <c r="E128" s="1853"/>
      <c r="F128" s="1853"/>
      <c r="G128" s="1853"/>
      <c r="H128" s="1853"/>
      <c r="I128" s="1853"/>
      <c r="J128" s="1853"/>
      <c r="K128" s="1853"/>
      <c r="L128" s="1853"/>
      <c r="M128" s="1853"/>
      <c r="N128" s="1853"/>
      <c r="O128" s="1853"/>
      <c r="P128" s="1853"/>
      <c r="Q128" s="1853"/>
      <c r="R128" s="1853"/>
      <c r="S128" s="1853"/>
      <c r="T128" s="1853"/>
      <c r="U128" s="1854"/>
      <c r="V128" s="1097"/>
      <c r="W128" s="1097"/>
      <c r="X128" s="1998"/>
      <c r="Y128" s="1999"/>
      <c r="Z128" s="1999"/>
      <c r="AA128" s="1999"/>
      <c r="AB128" s="1999"/>
      <c r="AC128" s="1999"/>
      <c r="AD128" s="1999"/>
      <c r="AE128" s="1999"/>
      <c r="AF128" s="1999"/>
      <c r="AG128" s="1999"/>
      <c r="AH128" s="1999"/>
      <c r="AI128" s="1999"/>
      <c r="AJ128" s="1999"/>
      <c r="AK128" s="1999"/>
      <c r="AL128" s="1999"/>
      <c r="AM128" s="1999"/>
      <c r="AN128" s="1999"/>
      <c r="AO128" s="1999"/>
      <c r="AP128" s="1999"/>
      <c r="AQ128" s="1999"/>
      <c r="AR128" s="1999"/>
      <c r="AS128" s="1999"/>
      <c r="AT128" s="1999"/>
      <c r="AU128" s="1999"/>
      <c r="AV128" s="1999"/>
      <c r="AW128" s="1999"/>
      <c r="AX128" s="1999"/>
      <c r="AY128" s="1999"/>
      <c r="AZ128" s="1999"/>
      <c r="BA128" s="1999"/>
      <c r="BB128" s="1999"/>
      <c r="BC128" s="1999"/>
      <c r="BD128" s="2000"/>
      <c r="BE128" s="1101"/>
    </row>
    <row r="129" spans="1:57" ht="15.75" customHeight="1">
      <c r="A129" s="1097"/>
      <c r="B129" s="2076"/>
      <c r="C129" s="2077"/>
      <c r="D129" s="2077"/>
      <c r="E129" s="2077"/>
      <c r="F129" s="2077"/>
      <c r="G129" s="2077"/>
      <c r="H129" s="2077"/>
      <c r="I129" s="2078" t="s">
        <v>2007</v>
      </c>
      <c r="J129" s="2078"/>
      <c r="K129" s="2078"/>
      <c r="L129" s="2078"/>
      <c r="M129" s="2078"/>
      <c r="N129" s="2078"/>
      <c r="O129" s="2078"/>
      <c r="P129" s="2078" t="s">
        <v>2008</v>
      </c>
      <c r="Q129" s="2078"/>
      <c r="R129" s="2078"/>
      <c r="S129" s="2078"/>
      <c r="T129" s="2078"/>
      <c r="U129" s="2079"/>
      <c r="V129" s="1097"/>
      <c r="W129" s="1097"/>
      <c r="X129" s="1998"/>
      <c r="Y129" s="1999"/>
      <c r="Z129" s="1999"/>
      <c r="AA129" s="1999"/>
      <c r="AB129" s="1999"/>
      <c r="AC129" s="1999"/>
      <c r="AD129" s="1999"/>
      <c r="AE129" s="1999"/>
      <c r="AF129" s="1999"/>
      <c r="AG129" s="1999"/>
      <c r="AH129" s="1999"/>
      <c r="AI129" s="1999"/>
      <c r="AJ129" s="1999"/>
      <c r="AK129" s="1999"/>
      <c r="AL129" s="1999"/>
      <c r="AM129" s="1999"/>
      <c r="AN129" s="1999"/>
      <c r="AO129" s="1999"/>
      <c r="AP129" s="1999"/>
      <c r="AQ129" s="1999"/>
      <c r="AR129" s="1999"/>
      <c r="AS129" s="1999"/>
      <c r="AT129" s="1999"/>
      <c r="AU129" s="1999"/>
      <c r="AV129" s="1999"/>
      <c r="AW129" s="1999"/>
      <c r="AX129" s="1999"/>
      <c r="AY129" s="1999"/>
      <c r="AZ129" s="1999"/>
      <c r="BA129" s="1999"/>
      <c r="BB129" s="1999"/>
      <c r="BC129" s="1999"/>
      <c r="BD129" s="2000"/>
      <c r="BE129" s="1101"/>
    </row>
    <row r="130" spans="1:57" ht="15.75" customHeight="1">
      <c r="A130" s="1097"/>
      <c r="B130" s="2076"/>
      <c r="C130" s="2077"/>
      <c r="D130" s="2077"/>
      <c r="E130" s="2077"/>
      <c r="F130" s="2077"/>
      <c r="G130" s="2077"/>
      <c r="H130" s="2077"/>
      <c r="I130" s="2078"/>
      <c r="J130" s="2078"/>
      <c r="K130" s="2078"/>
      <c r="L130" s="2078"/>
      <c r="M130" s="2078"/>
      <c r="N130" s="2078"/>
      <c r="O130" s="2078"/>
      <c r="P130" s="2078"/>
      <c r="Q130" s="2078"/>
      <c r="R130" s="2078"/>
      <c r="S130" s="2078"/>
      <c r="T130" s="2078"/>
      <c r="U130" s="2079"/>
      <c r="V130" s="1097"/>
      <c r="W130" s="1097"/>
      <c r="X130" s="1998"/>
      <c r="Y130" s="1999"/>
      <c r="Z130" s="1999"/>
      <c r="AA130" s="1999"/>
      <c r="AB130" s="1999"/>
      <c r="AC130" s="1999"/>
      <c r="AD130" s="1999"/>
      <c r="AE130" s="1999"/>
      <c r="AF130" s="1999"/>
      <c r="AG130" s="1999"/>
      <c r="AH130" s="1999"/>
      <c r="AI130" s="1999"/>
      <c r="AJ130" s="1999"/>
      <c r="AK130" s="1999"/>
      <c r="AL130" s="1999"/>
      <c r="AM130" s="1999"/>
      <c r="AN130" s="1999"/>
      <c r="AO130" s="1999"/>
      <c r="AP130" s="1999"/>
      <c r="AQ130" s="1999"/>
      <c r="AR130" s="1999"/>
      <c r="AS130" s="1999"/>
      <c r="AT130" s="1999"/>
      <c r="AU130" s="1999"/>
      <c r="AV130" s="1999"/>
      <c r="AW130" s="1999"/>
      <c r="AX130" s="1999"/>
      <c r="AY130" s="1999"/>
      <c r="AZ130" s="1999"/>
      <c r="BA130" s="1999"/>
      <c r="BB130" s="1999"/>
      <c r="BC130" s="1999"/>
      <c r="BD130" s="2000"/>
      <c r="BE130" s="1101"/>
    </row>
    <row r="131" spans="1:57" ht="15.75" customHeight="1">
      <c r="A131" s="1097"/>
      <c r="B131" s="2050" t="s">
        <v>2026</v>
      </c>
      <c r="C131" s="2051"/>
      <c r="D131" s="2051"/>
      <c r="E131" s="2051"/>
      <c r="F131" s="2051"/>
      <c r="G131" s="2051"/>
      <c r="H131" s="2051"/>
      <c r="I131" s="2028">
        <v>0</v>
      </c>
      <c r="J131" s="2028"/>
      <c r="K131" s="2028"/>
      <c r="L131" s="2028"/>
      <c r="M131" s="2028"/>
      <c r="N131" s="2028"/>
      <c r="O131" s="2028"/>
      <c r="P131" s="2028">
        <v>0</v>
      </c>
      <c r="Q131" s="2028"/>
      <c r="R131" s="2028"/>
      <c r="S131" s="2028"/>
      <c r="T131" s="2028"/>
      <c r="U131" s="2029"/>
      <c r="V131" s="1097"/>
      <c r="W131" s="1097"/>
      <c r="X131" s="1998"/>
      <c r="Y131" s="1999"/>
      <c r="Z131" s="1999"/>
      <c r="AA131" s="1999"/>
      <c r="AB131" s="1999"/>
      <c r="AC131" s="1999"/>
      <c r="AD131" s="1999"/>
      <c r="AE131" s="1999"/>
      <c r="AF131" s="1999"/>
      <c r="AG131" s="1999"/>
      <c r="AH131" s="1999"/>
      <c r="AI131" s="1999"/>
      <c r="AJ131" s="1999"/>
      <c r="AK131" s="1999"/>
      <c r="AL131" s="1999"/>
      <c r="AM131" s="1999"/>
      <c r="AN131" s="1999"/>
      <c r="AO131" s="1999"/>
      <c r="AP131" s="1999"/>
      <c r="AQ131" s="1999"/>
      <c r="AR131" s="1999"/>
      <c r="AS131" s="1999"/>
      <c r="AT131" s="1999"/>
      <c r="AU131" s="1999"/>
      <c r="AV131" s="1999"/>
      <c r="AW131" s="1999"/>
      <c r="AX131" s="1999"/>
      <c r="AY131" s="1999"/>
      <c r="AZ131" s="1999"/>
      <c r="BA131" s="1999"/>
      <c r="BB131" s="1999"/>
      <c r="BC131" s="1999"/>
      <c r="BD131" s="2000"/>
      <c r="BE131" s="1101"/>
    </row>
    <row r="132" spans="1:57" ht="15.75" customHeight="1" thickBot="1">
      <c r="A132" s="1097"/>
      <c r="B132" s="2052" t="s">
        <v>2027</v>
      </c>
      <c r="C132" s="2053"/>
      <c r="D132" s="2053"/>
      <c r="E132" s="2053"/>
      <c r="F132" s="2053"/>
      <c r="G132" s="2053"/>
      <c r="H132" s="2053"/>
      <c r="I132" s="2026">
        <v>0</v>
      </c>
      <c r="J132" s="2026"/>
      <c r="K132" s="2026"/>
      <c r="L132" s="2026"/>
      <c r="M132" s="2026"/>
      <c r="N132" s="2026"/>
      <c r="O132" s="2026"/>
      <c r="P132" s="2026">
        <v>0</v>
      </c>
      <c r="Q132" s="2026"/>
      <c r="R132" s="2026"/>
      <c r="S132" s="2026"/>
      <c r="T132" s="2026"/>
      <c r="U132" s="2027"/>
      <c r="V132" s="1097"/>
      <c r="W132" s="1097"/>
      <c r="X132" s="2001"/>
      <c r="Y132" s="2002"/>
      <c r="Z132" s="2002"/>
      <c r="AA132" s="2002"/>
      <c r="AB132" s="2002"/>
      <c r="AC132" s="2002"/>
      <c r="AD132" s="2002"/>
      <c r="AE132" s="2002"/>
      <c r="AF132" s="2002"/>
      <c r="AG132" s="2002"/>
      <c r="AH132" s="2002"/>
      <c r="AI132" s="2002"/>
      <c r="AJ132" s="2002"/>
      <c r="AK132" s="2002"/>
      <c r="AL132" s="2002"/>
      <c r="AM132" s="2002"/>
      <c r="AN132" s="2002"/>
      <c r="AO132" s="2002"/>
      <c r="AP132" s="2002"/>
      <c r="AQ132" s="2002"/>
      <c r="AR132" s="2002"/>
      <c r="AS132" s="2002"/>
      <c r="AT132" s="2002"/>
      <c r="AU132" s="2002"/>
      <c r="AV132" s="2002"/>
      <c r="AW132" s="2002"/>
      <c r="AX132" s="2002"/>
      <c r="AY132" s="2002"/>
      <c r="AZ132" s="2002"/>
      <c r="BA132" s="2002"/>
      <c r="BB132" s="2002"/>
      <c r="BC132" s="2002"/>
      <c r="BD132" s="2003"/>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4" t="s">
        <v>2030</v>
      </c>
      <c r="C134" s="2075"/>
      <c r="D134" s="2075"/>
      <c r="E134" s="2075"/>
      <c r="F134" s="2075"/>
      <c r="G134" s="2075"/>
      <c r="H134" s="2075"/>
      <c r="I134" s="2075"/>
      <c r="J134" s="2075"/>
      <c r="K134" s="2075"/>
      <c r="L134" s="2075"/>
      <c r="M134" s="2075"/>
      <c r="N134" s="2075"/>
      <c r="O134" s="2075"/>
      <c r="P134" s="2075"/>
      <c r="Q134" s="2075"/>
      <c r="R134" s="2075"/>
      <c r="S134" s="2075"/>
      <c r="T134" s="2075"/>
      <c r="U134" s="2075"/>
      <c r="V134" s="2075"/>
      <c r="W134" s="2075"/>
      <c r="X134" s="2075"/>
      <c r="Y134" s="2075"/>
      <c r="Z134" s="2075"/>
      <c r="AA134" s="2075"/>
      <c r="AB134" s="2075"/>
      <c r="AC134" s="2075"/>
      <c r="AD134" s="2075"/>
      <c r="AE134" s="2075"/>
      <c r="AF134" s="2075"/>
      <c r="AG134" s="2075"/>
      <c r="AH134" s="1975" t="s">
        <v>862</v>
      </c>
      <c r="AI134" s="1975"/>
      <c r="AJ134" s="1975"/>
      <c r="AK134" s="1975"/>
      <c r="AL134" s="1975"/>
      <c r="AM134" s="1975"/>
      <c r="AN134" s="1975"/>
      <c r="AO134" s="1975"/>
      <c r="AP134" s="1975"/>
      <c r="AQ134" s="1975"/>
      <c r="AR134" s="1975"/>
      <c r="AS134" s="1975"/>
      <c r="AT134" s="1975"/>
      <c r="AU134" s="1975"/>
      <c r="AV134" s="1975"/>
      <c r="AW134" s="1975"/>
      <c r="AX134" s="1976"/>
      <c r="AY134" s="1097"/>
      <c r="AZ134" s="1097"/>
      <c r="BA134" s="1097"/>
      <c r="BB134" s="1097"/>
      <c r="BC134" s="1097"/>
      <c r="BD134" s="1097"/>
      <c r="BE134" s="1101"/>
    </row>
    <row r="135" spans="1:57" ht="15.75" customHeight="1" thickBot="1">
      <c r="A135" s="1097"/>
      <c r="B135" s="2061" t="s">
        <v>2031</v>
      </c>
      <c r="C135" s="2062"/>
      <c r="D135" s="2062"/>
      <c r="E135" s="2062"/>
      <c r="F135" s="2062"/>
      <c r="G135" s="2062"/>
      <c r="H135" s="2062"/>
      <c r="I135" s="2062"/>
      <c r="J135" s="2062"/>
      <c r="K135" s="2062"/>
      <c r="L135" s="2062"/>
      <c r="M135" s="2062"/>
      <c r="N135" s="2062"/>
      <c r="O135" s="2062"/>
      <c r="P135" s="2062"/>
      <c r="Q135" s="2062"/>
      <c r="R135" s="2062"/>
      <c r="S135" s="2062"/>
      <c r="T135" s="2062"/>
      <c r="U135" s="2062"/>
      <c r="V135" s="2062"/>
      <c r="W135" s="2062"/>
      <c r="X135" s="2062"/>
      <c r="Y135" s="2062"/>
      <c r="Z135" s="2062"/>
      <c r="AA135" s="2062"/>
      <c r="AB135" s="2062"/>
      <c r="AC135" s="2062"/>
      <c r="AD135" s="2062"/>
      <c r="AE135" s="2062"/>
      <c r="AF135" s="2062"/>
      <c r="AG135" s="2063"/>
      <c r="AH135" s="2030"/>
      <c r="AI135" s="2031"/>
      <c r="AJ135" s="2031"/>
      <c r="AK135" s="2031"/>
      <c r="AL135" s="2031"/>
      <c r="AM135" s="2031"/>
      <c r="AN135" s="2031"/>
      <c r="AO135" s="2031"/>
      <c r="AP135" s="2031"/>
      <c r="AQ135" s="2031"/>
      <c r="AR135" s="2031"/>
      <c r="AS135" s="2031"/>
      <c r="AT135" s="2031"/>
      <c r="AU135" s="2031"/>
      <c r="AV135" s="2031"/>
      <c r="AW135" s="2031"/>
      <c r="AX135" s="2032"/>
      <c r="AY135" s="1097"/>
      <c r="AZ135" s="1097"/>
      <c r="BA135" s="1097"/>
      <c r="BB135" s="1097"/>
      <c r="BC135" s="1097"/>
      <c r="BD135" s="1097"/>
      <c r="BE135" s="1101"/>
    </row>
    <row r="136" spans="1:57" ht="15.75" customHeight="1">
      <c r="A136" s="1097"/>
      <c r="B136" s="2061" t="s">
        <v>2032</v>
      </c>
      <c r="C136" s="2062"/>
      <c r="D136" s="2062"/>
      <c r="E136" s="2062"/>
      <c r="F136" s="2062"/>
      <c r="G136" s="2062"/>
      <c r="H136" s="2062"/>
      <c r="I136" s="2062"/>
      <c r="J136" s="2062"/>
      <c r="K136" s="2062"/>
      <c r="L136" s="2062"/>
      <c r="M136" s="2062"/>
      <c r="N136" s="2062"/>
      <c r="O136" s="2062"/>
      <c r="P136" s="2062"/>
      <c r="Q136" s="2062"/>
      <c r="R136" s="2062"/>
      <c r="S136" s="2062"/>
      <c r="T136" s="2062"/>
      <c r="U136" s="2062"/>
      <c r="V136" s="2062"/>
      <c r="W136" s="2062"/>
      <c r="X136" s="2062"/>
      <c r="Y136" s="2062"/>
      <c r="Z136" s="2062"/>
      <c r="AA136" s="2062"/>
      <c r="AB136" s="2062"/>
      <c r="AC136" s="2062"/>
      <c r="AD136" s="2062"/>
      <c r="AE136" s="2062"/>
      <c r="AF136" s="2062"/>
      <c r="AG136" s="2063"/>
      <c r="AH136" s="1975" t="s">
        <v>862</v>
      </c>
      <c r="AI136" s="1975"/>
      <c r="AJ136" s="1975"/>
      <c r="AK136" s="1975"/>
      <c r="AL136" s="1975"/>
      <c r="AM136" s="1975"/>
      <c r="AN136" s="1975"/>
      <c r="AO136" s="1975"/>
      <c r="AP136" s="1975"/>
      <c r="AQ136" s="1975"/>
      <c r="AR136" s="1975"/>
      <c r="AS136" s="1975"/>
      <c r="AT136" s="1975"/>
      <c r="AU136" s="1975"/>
      <c r="AV136" s="1975"/>
      <c r="AW136" s="1975"/>
      <c r="AX136" s="1976"/>
      <c r="AY136" s="1097"/>
      <c r="AZ136" s="1097"/>
      <c r="BA136" s="1097"/>
      <c r="BB136" s="1097"/>
      <c r="BC136" s="1097"/>
      <c r="BD136" s="1097"/>
      <c r="BE136" s="1101"/>
    </row>
    <row r="137" spans="1:57" ht="15.75" customHeight="1">
      <c r="A137" s="1097"/>
      <c r="B137" s="2064" t="s">
        <v>2033</v>
      </c>
      <c r="C137" s="2065"/>
      <c r="D137" s="2065"/>
      <c r="E137" s="2065"/>
      <c r="F137" s="2065"/>
      <c r="G137" s="2065"/>
      <c r="H137" s="2065"/>
      <c r="I137" s="2065"/>
      <c r="J137" s="2065"/>
      <c r="K137" s="2065"/>
      <c r="L137" s="2065"/>
      <c r="M137" s="2065"/>
      <c r="N137" s="2065"/>
      <c r="O137" s="2065"/>
      <c r="P137" s="2065"/>
      <c r="Q137" s="2065"/>
      <c r="R137" s="2066" t="s">
        <v>2034</v>
      </c>
      <c r="S137" s="2066"/>
      <c r="T137" s="2066"/>
      <c r="U137" s="2066"/>
      <c r="V137" s="2066"/>
      <c r="W137" s="2066"/>
      <c r="X137" s="2066"/>
      <c r="Y137" s="2066"/>
      <c r="Z137" s="2066"/>
      <c r="AA137" s="2066"/>
      <c r="AB137" s="2066"/>
      <c r="AC137" s="2066"/>
      <c r="AD137" s="2066"/>
      <c r="AE137" s="2066"/>
      <c r="AF137" s="2066"/>
      <c r="AG137" s="2066"/>
      <c r="AH137" s="2066"/>
      <c r="AI137" s="2066"/>
      <c r="AJ137" s="2066"/>
      <c r="AK137" s="2066"/>
      <c r="AL137" s="2066"/>
      <c r="AM137" s="2066"/>
      <c r="AN137" s="2066"/>
      <c r="AO137" s="2066"/>
      <c r="AP137" s="2066"/>
      <c r="AQ137" s="2066"/>
      <c r="AR137" s="2066"/>
      <c r="AS137" s="2066"/>
      <c r="AT137" s="2066"/>
      <c r="AU137" s="2066"/>
      <c r="AV137" s="2066"/>
      <c r="AW137" s="2066"/>
      <c r="AX137" s="2067"/>
      <c r="AY137" s="1097"/>
      <c r="AZ137" s="1097"/>
      <c r="BA137" s="1097"/>
      <c r="BB137" s="1097"/>
      <c r="BC137" s="1097" t="s">
        <v>254</v>
      </c>
      <c r="BD137" s="1097"/>
      <c r="BE137" s="1101"/>
    </row>
    <row r="138" spans="1:57" ht="15.75" customHeight="1">
      <c r="A138" s="1097"/>
      <c r="B138" s="2068" t="s">
        <v>2035</v>
      </c>
      <c r="C138" s="2069"/>
      <c r="D138" s="2069"/>
      <c r="E138" s="2069"/>
      <c r="F138" s="2069"/>
      <c r="G138" s="2069"/>
      <c r="H138" s="2069"/>
      <c r="I138" s="2069"/>
      <c r="J138" s="2069"/>
      <c r="K138" s="2069"/>
      <c r="L138" s="2069"/>
      <c r="M138" s="2069"/>
      <c r="N138" s="2069"/>
      <c r="O138" s="2069"/>
      <c r="P138" s="2069"/>
      <c r="Q138" s="2069"/>
      <c r="R138" s="2069"/>
      <c r="S138" s="2069"/>
      <c r="T138" s="2069"/>
      <c r="U138" s="2069"/>
      <c r="V138" s="2069"/>
      <c r="W138" s="2069"/>
      <c r="X138" s="2069"/>
      <c r="Y138" s="2069"/>
      <c r="Z138" s="2069"/>
      <c r="AA138" s="2069"/>
      <c r="AB138" s="2069"/>
      <c r="AC138" s="2069"/>
      <c r="AD138" s="2069"/>
      <c r="AE138" s="2069"/>
      <c r="AF138" s="2069"/>
      <c r="AG138" s="2069"/>
      <c r="AH138" s="2069"/>
      <c r="AI138" s="2069"/>
      <c r="AJ138" s="2069"/>
      <c r="AK138" s="2069"/>
      <c r="AL138" s="2069"/>
      <c r="AM138" s="2069"/>
      <c r="AN138" s="2069"/>
      <c r="AO138" s="2069"/>
      <c r="AP138" s="2069"/>
      <c r="AQ138" s="2069"/>
      <c r="AR138" s="2069"/>
      <c r="AS138" s="2069"/>
      <c r="AT138" s="2069"/>
      <c r="AU138" s="2069"/>
      <c r="AV138" s="2069"/>
      <c r="AW138" s="2069"/>
      <c r="AX138" s="2070"/>
      <c r="AY138" s="1097"/>
      <c r="AZ138" s="1097"/>
      <c r="BA138" s="1097"/>
      <c r="BB138" s="1097"/>
      <c r="BC138" s="1097"/>
      <c r="BD138" s="1097"/>
      <c r="BE138" s="1101"/>
    </row>
    <row r="139" spans="1:57" ht="15.75" customHeight="1">
      <c r="A139" s="1097"/>
      <c r="B139" s="2068"/>
      <c r="C139" s="2069"/>
      <c r="D139" s="2069"/>
      <c r="E139" s="2069"/>
      <c r="F139" s="2069"/>
      <c r="G139" s="2069"/>
      <c r="H139" s="2069"/>
      <c r="I139" s="2069"/>
      <c r="J139" s="2069"/>
      <c r="K139" s="2069"/>
      <c r="L139" s="2069"/>
      <c r="M139" s="2069"/>
      <c r="N139" s="2069"/>
      <c r="O139" s="2069"/>
      <c r="P139" s="2069"/>
      <c r="Q139" s="2069"/>
      <c r="R139" s="2069"/>
      <c r="S139" s="2069"/>
      <c r="T139" s="2069"/>
      <c r="U139" s="2069"/>
      <c r="V139" s="2069"/>
      <c r="W139" s="2069"/>
      <c r="X139" s="2069"/>
      <c r="Y139" s="2069"/>
      <c r="Z139" s="2069"/>
      <c r="AA139" s="2069"/>
      <c r="AB139" s="2069"/>
      <c r="AC139" s="2069"/>
      <c r="AD139" s="2069"/>
      <c r="AE139" s="2069"/>
      <c r="AF139" s="2069"/>
      <c r="AG139" s="2069"/>
      <c r="AH139" s="2069"/>
      <c r="AI139" s="2069"/>
      <c r="AJ139" s="2069"/>
      <c r="AK139" s="2069"/>
      <c r="AL139" s="2069"/>
      <c r="AM139" s="2069"/>
      <c r="AN139" s="2069"/>
      <c r="AO139" s="2069"/>
      <c r="AP139" s="2069"/>
      <c r="AQ139" s="2069"/>
      <c r="AR139" s="2069"/>
      <c r="AS139" s="2069"/>
      <c r="AT139" s="2069"/>
      <c r="AU139" s="2069"/>
      <c r="AV139" s="2069"/>
      <c r="AW139" s="2069"/>
      <c r="AX139" s="2070"/>
      <c r="AY139" s="1097"/>
      <c r="AZ139" s="1097"/>
      <c r="BA139" s="1097"/>
      <c r="BB139" s="1097"/>
      <c r="BC139" s="1097"/>
      <c r="BD139" s="1097"/>
      <c r="BE139" s="1101"/>
    </row>
    <row r="140" spans="1:57" ht="15.75" customHeight="1">
      <c r="A140" s="1097"/>
      <c r="B140" s="2068"/>
      <c r="C140" s="2069"/>
      <c r="D140" s="2069"/>
      <c r="E140" s="2069"/>
      <c r="F140" s="2069"/>
      <c r="G140" s="2069"/>
      <c r="H140" s="2069"/>
      <c r="I140" s="2069"/>
      <c r="J140" s="2069"/>
      <c r="K140" s="2069"/>
      <c r="L140" s="2069"/>
      <c r="M140" s="2069"/>
      <c r="N140" s="2069"/>
      <c r="O140" s="2069"/>
      <c r="P140" s="2069"/>
      <c r="Q140" s="2069"/>
      <c r="R140" s="2069"/>
      <c r="S140" s="2069"/>
      <c r="T140" s="2069"/>
      <c r="U140" s="2069"/>
      <c r="V140" s="2069"/>
      <c r="W140" s="2069"/>
      <c r="X140" s="2069"/>
      <c r="Y140" s="2069"/>
      <c r="Z140" s="2069"/>
      <c r="AA140" s="2069"/>
      <c r="AB140" s="2069"/>
      <c r="AC140" s="2069"/>
      <c r="AD140" s="2069"/>
      <c r="AE140" s="2069"/>
      <c r="AF140" s="2069"/>
      <c r="AG140" s="2069"/>
      <c r="AH140" s="2069"/>
      <c r="AI140" s="2069"/>
      <c r="AJ140" s="2069"/>
      <c r="AK140" s="2069"/>
      <c r="AL140" s="2069"/>
      <c r="AM140" s="2069"/>
      <c r="AN140" s="2069"/>
      <c r="AO140" s="2069"/>
      <c r="AP140" s="2069"/>
      <c r="AQ140" s="2069"/>
      <c r="AR140" s="2069"/>
      <c r="AS140" s="2069"/>
      <c r="AT140" s="2069"/>
      <c r="AU140" s="2069"/>
      <c r="AV140" s="2069"/>
      <c r="AW140" s="2069"/>
      <c r="AX140" s="2070"/>
      <c r="AY140" s="1097"/>
      <c r="AZ140" s="1097"/>
      <c r="BA140" s="1097"/>
      <c r="BB140" s="1097"/>
      <c r="BC140" s="1097"/>
      <c r="BD140" s="1097"/>
      <c r="BE140" s="1101"/>
    </row>
    <row r="141" spans="1:57" ht="15.75" customHeight="1">
      <c r="A141" s="1097"/>
      <c r="B141" s="2068"/>
      <c r="C141" s="2069"/>
      <c r="D141" s="2069"/>
      <c r="E141" s="2069"/>
      <c r="F141" s="2069"/>
      <c r="G141" s="2069"/>
      <c r="H141" s="2069"/>
      <c r="I141" s="2069"/>
      <c r="J141" s="2069"/>
      <c r="K141" s="2069"/>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69"/>
      <c r="AO141" s="2069"/>
      <c r="AP141" s="2069"/>
      <c r="AQ141" s="2069"/>
      <c r="AR141" s="2069"/>
      <c r="AS141" s="2069"/>
      <c r="AT141" s="2069"/>
      <c r="AU141" s="2069"/>
      <c r="AV141" s="2069"/>
      <c r="AW141" s="2069"/>
      <c r="AX141" s="2070"/>
      <c r="AY141" s="1097"/>
      <c r="AZ141" s="1097"/>
      <c r="BA141" s="1097"/>
      <c r="BB141" s="1097"/>
      <c r="BC141" s="1097"/>
      <c r="BD141" s="1097"/>
      <c r="BE141" s="1101"/>
    </row>
    <row r="142" spans="1:57" ht="15.75" customHeight="1">
      <c r="A142" s="1097"/>
      <c r="B142" s="2068"/>
      <c r="C142" s="2069"/>
      <c r="D142" s="2069"/>
      <c r="E142" s="2069"/>
      <c r="F142" s="2069"/>
      <c r="G142" s="2069"/>
      <c r="H142" s="2069"/>
      <c r="I142" s="2069"/>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69"/>
      <c r="AT142" s="2069"/>
      <c r="AU142" s="2069"/>
      <c r="AV142" s="2069"/>
      <c r="AW142" s="2069"/>
      <c r="AX142" s="2070"/>
      <c r="AY142" s="1097"/>
      <c r="AZ142" s="1097"/>
      <c r="BA142" s="1097"/>
      <c r="BB142" s="1097"/>
      <c r="BC142" s="1097"/>
      <c r="BD142" s="1097"/>
      <c r="BE142" s="1101"/>
    </row>
    <row r="143" spans="1:57" ht="15.75" customHeight="1">
      <c r="A143" s="1097"/>
      <c r="B143" s="2068"/>
      <c r="C143" s="2069"/>
      <c r="D143" s="2069"/>
      <c r="E143" s="2069"/>
      <c r="F143" s="2069"/>
      <c r="G143" s="2069"/>
      <c r="H143" s="2069"/>
      <c r="I143" s="2069"/>
      <c r="J143" s="2069"/>
      <c r="K143" s="2069"/>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c r="AJ143" s="2069"/>
      <c r="AK143" s="2069"/>
      <c r="AL143" s="2069"/>
      <c r="AM143" s="2069"/>
      <c r="AN143" s="2069"/>
      <c r="AO143" s="2069"/>
      <c r="AP143" s="2069"/>
      <c r="AQ143" s="2069"/>
      <c r="AR143" s="2069"/>
      <c r="AS143" s="2069"/>
      <c r="AT143" s="2069"/>
      <c r="AU143" s="2069"/>
      <c r="AV143" s="2069"/>
      <c r="AW143" s="2069"/>
      <c r="AX143" s="2070"/>
      <c r="AY143" s="1097"/>
      <c r="AZ143" s="1097"/>
      <c r="BA143" s="1097"/>
      <c r="BB143" s="1097"/>
      <c r="BC143" s="1097"/>
      <c r="BD143" s="1097"/>
      <c r="BE143" s="1101"/>
    </row>
    <row r="144" spans="1:57" ht="15.75" customHeight="1">
      <c r="A144" s="1097"/>
      <c r="B144" s="2068"/>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2069"/>
      <c r="AE144" s="2069"/>
      <c r="AF144" s="2069"/>
      <c r="AG144" s="2069"/>
      <c r="AH144" s="2069"/>
      <c r="AI144" s="2069"/>
      <c r="AJ144" s="2069"/>
      <c r="AK144" s="2069"/>
      <c r="AL144" s="2069"/>
      <c r="AM144" s="2069"/>
      <c r="AN144" s="2069"/>
      <c r="AO144" s="2069"/>
      <c r="AP144" s="2069"/>
      <c r="AQ144" s="2069"/>
      <c r="AR144" s="2069"/>
      <c r="AS144" s="2069"/>
      <c r="AT144" s="2069"/>
      <c r="AU144" s="2069"/>
      <c r="AV144" s="2069"/>
      <c r="AW144" s="2069"/>
      <c r="AX144" s="2070"/>
      <c r="AY144" s="1097"/>
      <c r="AZ144" s="1097"/>
      <c r="BA144" s="1097"/>
      <c r="BB144" s="1097"/>
      <c r="BC144" s="1097"/>
      <c r="BD144" s="1097"/>
      <c r="BE144" s="1101"/>
    </row>
    <row r="145" spans="1:57" ht="15.75" customHeight="1">
      <c r="A145" s="1097"/>
      <c r="B145" s="2068"/>
      <c r="C145" s="2069"/>
      <c r="D145" s="2069"/>
      <c r="E145" s="2069"/>
      <c r="F145" s="2069"/>
      <c r="G145" s="2069"/>
      <c r="H145" s="2069"/>
      <c r="I145" s="2069"/>
      <c r="J145" s="2069"/>
      <c r="K145" s="2069"/>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c r="AG145" s="2069"/>
      <c r="AH145" s="2069"/>
      <c r="AI145" s="2069"/>
      <c r="AJ145" s="2069"/>
      <c r="AK145" s="2069"/>
      <c r="AL145" s="2069"/>
      <c r="AM145" s="2069"/>
      <c r="AN145" s="2069"/>
      <c r="AO145" s="2069"/>
      <c r="AP145" s="2069"/>
      <c r="AQ145" s="2069"/>
      <c r="AR145" s="2069"/>
      <c r="AS145" s="2069"/>
      <c r="AT145" s="2069"/>
      <c r="AU145" s="2069"/>
      <c r="AV145" s="2069"/>
      <c r="AW145" s="2069"/>
      <c r="AX145" s="2070"/>
      <c r="AY145" s="1097"/>
      <c r="AZ145" s="1097"/>
      <c r="BA145" s="1097"/>
      <c r="BB145" s="1097"/>
      <c r="BC145" s="1097"/>
      <c r="BD145" s="1097"/>
      <c r="BE145" s="1101"/>
    </row>
    <row r="146" spans="1:57" ht="15.75" customHeight="1">
      <c r="A146" s="1097"/>
      <c r="B146" s="2068"/>
      <c r="C146" s="2069"/>
      <c r="D146" s="2069"/>
      <c r="E146" s="2069"/>
      <c r="F146" s="2069"/>
      <c r="G146" s="2069"/>
      <c r="H146" s="2069"/>
      <c r="I146" s="2069"/>
      <c r="J146" s="2069"/>
      <c r="K146" s="2069"/>
      <c r="L146" s="2069"/>
      <c r="M146" s="2069"/>
      <c r="N146" s="2069"/>
      <c r="O146" s="2069"/>
      <c r="P146" s="2069"/>
      <c r="Q146" s="2069"/>
      <c r="R146" s="2069"/>
      <c r="S146" s="2069"/>
      <c r="T146" s="2069"/>
      <c r="U146" s="2069"/>
      <c r="V146" s="2069"/>
      <c r="W146" s="2069"/>
      <c r="X146" s="2069"/>
      <c r="Y146" s="2069"/>
      <c r="Z146" s="2069"/>
      <c r="AA146" s="2069"/>
      <c r="AB146" s="2069"/>
      <c r="AC146" s="2069"/>
      <c r="AD146" s="2069"/>
      <c r="AE146" s="2069"/>
      <c r="AF146" s="2069"/>
      <c r="AG146" s="2069"/>
      <c r="AH146" s="2069"/>
      <c r="AI146" s="2069"/>
      <c r="AJ146" s="2069"/>
      <c r="AK146" s="2069"/>
      <c r="AL146" s="2069"/>
      <c r="AM146" s="2069"/>
      <c r="AN146" s="2069"/>
      <c r="AO146" s="2069"/>
      <c r="AP146" s="2069"/>
      <c r="AQ146" s="2069"/>
      <c r="AR146" s="2069"/>
      <c r="AS146" s="2069"/>
      <c r="AT146" s="2069"/>
      <c r="AU146" s="2069"/>
      <c r="AV146" s="2069"/>
      <c r="AW146" s="2069"/>
      <c r="AX146" s="2070"/>
      <c r="AY146" s="1097"/>
      <c r="AZ146" s="1097"/>
      <c r="BA146" s="1097"/>
      <c r="BB146" s="1097"/>
      <c r="BC146" s="1097"/>
      <c r="BD146" s="1097"/>
      <c r="BE146" s="1101"/>
    </row>
    <row r="147" spans="1:57" ht="15.75" customHeight="1" thickBot="1">
      <c r="A147" s="1097"/>
      <c r="B147" s="2071"/>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2"/>
      <c r="AP147" s="2072"/>
      <c r="AQ147" s="2072"/>
      <c r="AR147" s="2072"/>
      <c r="AS147" s="2072"/>
      <c r="AT147" s="2072"/>
      <c r="AU147" s="2072"/>
      <c r="AV147" s="2072"/>
      <c r="AW147" s="2072"/>
      <c r="AX147" s="2073"/>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2036</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2037</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7" t="s">
        <v>2038</v>
      </c>
      <c r="C151" s="1948"/>
      <c r="D151" s="1948"/>
      <c r="E151" s="1948"/>
      <c r="F151" s="1948"/>
      <c r="G151" s="1948"/>
      <c r="H151" s="1948"/>
      <c r="I151" s="1948"/>
      <c r="J151" s="1948"/>
      <c r="K151" s="1948"/>
      <c r="L151" s="1948"/>
      <c r="M151" s="1948"/>
      <c r="N151" s="1948"/>
      <c r="O151" s="1948"/>
      <c r="P151" s="1948"/>
      <c r="Q151" s="1948"/>
      <c r="R151" s="1948"/>
      <c r="S151" s="1948"/>
      <c r="T151" s="1948"/>
      <c r="U151" s="1949"/>
      <c r="V151" s="1097"/>
      <c r="W151" s="1098"/>
      <c r="X151" s="1947" t="s">
        <v>2039</v>
      </c>
      <c r="Y151" s="1948"/>
      <c r="Z151" s="1948"/>
      <c r="AA151" s="1948"/>
      <c r="AB151" s="1948"/>
      <c r="AC151" s="1948"/>
      <c r="AD151" s="1948"/>
      <c r="AE151" s="1948"/>
      <c r="AF151" s="1948"/>
      <c r="AG151" s="1948"/>
      <c r="AH151" s="1948"/>
      <c r="AI151" s="1948"/>
      <c r="AJ151" s="1948"/>
      <c r="AK151" s="1948"/>
      <c r="AL151" s="1948"/>
      <c r="AM151" s="1948"/>
      <c r="AN151" s="1948"/>
      <c r="AO151" s="1948"/>
      <c r="AP151" s="1948"/>
      <c r="AQ151" s="1949"/>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6"/>
      <c r="C152" s="2077"/>
      <c r="D152" s="2077"/>
      <c r="E152" s="2077"/>
      <c r="F152" s="2077"/>
      <c r="G152" s="2077"/>
      <c r="H152" s="2077"/>
      <c r="I152" s="2078" t="s">
        <v>2007</v>
      </c>
      <c r="J152" s="2078"/>
      <c r="K152" s="2078"/>
      <c r="L152" s="2078"/>
      <c r="M152" s="2078"/>
      <c r="N152" s="2078"/>
      <c r="O152" s="2078"/>
      <c r="P152" s="2078" t="s">
        <v>2040</v>
      </c>
      <c r="Q152" s="2078"/>
      <c r="R152" s="2078"/>
      <c r="S152" s="2078"/>
      <c r="T152" s="2078"/>
      <c r="U152" s="2079"/>
      <c r="V152" s="1097"/>
      <c r="W152" s="1097"/>
      <c r="X152" s="2076"/>
      <c r="Y152" s="2077"/>
      <c r="Z152" s="2077"/>
      <c r="AA152" s="2077"/>
      <c r="AB152" s="2077"/>
      <c r="AC152" s="2077"/>
      <c r="AD152" s="2077"/>
      <c r="AE152" s="2078" t="s">
        <v>2007</v>
      </c>
      <c r="AF152" s="2078"/>
      <c r="AG152" s="2078"/>
      <c r="AH152" s="2078"/>
      <c r="AI152" s="2078"/>
      <c r="AJ152" s="2078"/>
      <c r="AK152" s="2078"/>
      <c r="AL152" s="2078" t="s">
        <v>2008</v>
      </c>
      <c r="AM152" s="2078"/>
      <c r="AN152" s="2078"/>
      <c r="AO152" s="2078"/>
      <c r="AP152" s="2078"/>
      <c r="AQ152" s="2079"/>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6"/>
      <c r="C153" s="2077"/>
      <c r="D153" s="2077"/>
      <c r="E153" s="2077"/>
      <c r="F153" s="2077"/>
      <c r="G153" s="2077"/>
      <c r="H153" s="2077"/>
      <c r="I153" s="2078"/>
      <c r="J153" s="2078"/>
      <c r="K153" s="2078"/>
      <c r="L153" s="2078"/>
      <c r="M153" s="2078"/>
      <c r="N153" s="2078"/>
      <c r="O153" s="2078"/>
      <c r="P153" s="2078"/>
      <c r="Q153" s="2078"/>
      <c r="R153" s="2078"/>
      <c r="S153" s="2078"/>
      <c r="T153" s="2078"/>
      <c r="U153" s="2079"/>
      <c r="V153" s="1097"/>
      <c r="W153" s="1097"/>
      <c r="X153" s="2076"/>
      <c r="Y153" s="2077"/>
      <c r="Z153" s="2077"/>
      <c r="AA153" s="2077"/>
      <c r="AB153" s="2077"/>
      <c r="AC153" s="2077"/>
      <c r="AD153" s="2077"/>
      <c r="AE153" s="2078"/>
      <c r="AF153" s="2078"/>
      <c r="AG153" s="2078"/>
      <c r="AH153" s="2078"/>
      <c r="AI153" s="2078"/>
      <c r="AJ153" s="2078"/>
      <c r="AK153" s="2078"/>
      <c r="AL153" s="2078"/>
      <c r="AM153" s="2078"/>
      <c r="AN153" s="2078"/>
      <c r="AO153" s="2078"/>
      <c r="AP153" s="2078"/>
      <c r="AQ153" s="2079"/>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0" t="s">
        <v>2026</v>
      </c>
      <c r="C154" s="2051"/>
      <c r="D154" s="2051"/>
      <c r="E154" s="2051"/>
      <c r="F154" s="2051"/>
      <c r="G154" s="2051"/>
      <c r="H154" s="2051"/>
      <c r="I154" s="2028">
        <v>0</v>
      </c>
      <c r="J154" s="2028"/>
      <c r="K154" s="2028"/>
      <c r="L154" s="2028"/>
      <c r="M154" s="2028"/>
      <c r="N154" s="2028"/>
      <c r="O154" s="2028"/>
      <c r="P154" s="2028">
        <v>0</v>
      </c>
      <c r="Q154" s="2028"/>
      <c r="R154" s="2028"/>
      <c r="S154" s="2028"/>
      <c r="T154" s="2028"/>
      <c r="U154" s="2029"/>
      <c r="V154" s="1097"/>
      <c r="W154" s="1097"/>
      <c r="X154" s="2052" t="s">
        <v>2026</v>
      </c>
      <c r="Y154" s="2053"/>
      <c r="Z154" s="2053"/>
      <c r="AA154" s="2053"/>
      <c r="AB154" s="2053"/>
      <c r="AC154" s="2053"/>
      <c r="AD154" s="2053"/>
      <c r="AE154" s="2026">
        <v>0</v>
      </c>
      <c r="AF154" s="2026"/>
      <c r="AG154" s="2026"/>
      <c r="AH154" s="2026"/>
      <c r="AI154" s="2026"/>
      <c r="AJ154" s="2026"/>
      <c r="AK154" s="2026"/>
      <c r="AL154" s="2026">
        <v>0</v>
      </c>
      <c r="AM154" s="2026"/>
      <c r="AN154" s="2026"/>
      <c r="AO154" s="2026"/>
      <c r="AP154" s="2026"/>
      <c r="AQ154" s="2027"/>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2" t="s">
        <v>2027</v>
      </c>
      <c r="C155" s="2053"/>
      <c r="D155" s="2053"/>
      <c r="E155" s="2053"/>
      <c r="F155" s="2053"/>
      <c r="G155" s="2053"/>
      <c r="H155" s="2053"/>
      <c r="I155" s="2026">
        <v>0</v>
      </c>
      <c r="J155" s="2026"/>
      <c r="K155" s="2026"/>
      <c r="L155" s="2026"/>
      <c r="M155" s="2026"/>
      <c r="N155" s="2026"/>
      <c r="O155" s="2026"/>
      <c r="P155" s="2026">
        <v>0</v>
      </c>
      <c r="Q155" s="2026"/>
      <c r="R155" s="2026"/>
      <c r="S155" s="2026"/>
      <c r="T155" s="2026"/>
      <c r="U155" s="202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7" t="s">
        <v>2041</v>
      </c>
      <c r="D157" s="1948"/>
      <c r="E157" s="1948"/>
      <c r="F157" s="1948"/>
      <c r="G157" s="1948"/>
      <c r="H157" s="1948"/>
      <c r="I157" s="1948"/>
      <c r="J157" s="1948"/>
      <c r="K157" s="1948"/>
      <c r="L157" s="1948"/>
      <c r="M157" s="1948"/>
      <c r="N157" s="1948"/>
      <c r="O157" s="1948"/>
      <c r="P157" s="1948"/>
      <c r="Q157" s="1948"/>
      <c r="R157" s="1948"/>
      <c r="S157" s="1948"/>
      <c r="T157" s="1948"/>
      <c r="U157" s="1948"/>
      <c r="V157" s="1948"/>
      <c r="W157" s="1948"/>
      <c r="X157" s="1948"/>
      <c r="Y157" s="1948"/>
      <c r="Z157" s="1948"/>
      <c r="AA157" s="1948"/>
      <c r="AB157" s="1948"/>
      <c r="AC157" s="1948"/>
      <c r="AD157" s="1948"/>
      <c r="AE157" s="1948"/>
      <c r="AF157" s="1948"/>
      <c r="AG157" s="1949"/>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6" t="s">
        <v>2042</v>
      </c>
      <c r="D158" s="2077"/>
      <c r="E158" s="2077"/>
      <c r="F158" s="2077"/>
      <c r="G158" s="2077"/>
      <c r="H158" s="2077"/>
      <c r="I158" s="2077"/>
      <c r="J158" s="2077"/>
      <c r="K158" s="2077"/>
      <c r="L158" s="2077"/>
      <c r="M158" s="2077"/>
      <c r="N158" s="2077"/>
      <c r="O158" s="2077"/>
      <c r="P158" s="2077"/>
      <c r="Q158" s="2077" t="s">
        <v>2043</v>
      </c>
      <c r="R158" s="2077"/>
      <c r="S158" s="2077"/>
      <c r="T158" s="2024" t="s">
        <v>2044</v>
      </c>
      <c r="U158" s="2024"/>
      <c r="V158" s="2024"/>
      <c r="W158" s="2024"/>
      <c r="X158" s="2024"/>
      <c r="Y158" s="2024"/>
      <c r="Z158" s="2024"/>
      <c r="AA158" s="2024"/>
      <c r="AB158" s="2077" t="s">
        <v>2045</v>
      </c>
      <c r="AC158" s="2077"/>
      <c r="AD158" s="2077"/>
      <c r="AE158" s="2077"/>
      <c r="AF158" s="2077"/>
      <c r="AG158" s="2087"/>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2" t="s">
        <v>2046</v>
      </c>
      <c r="D159" s="2083"/>
      <c r="E159" s="2083"/>
      <c r="F159" s="2083"/>
      <c r="G159" s="2083"/>
      <c r="H159" s="2083"/>
      <c r="I159" s="2083"/>
      <c r="J159" s="2083"/>
      <c r="K159" s="2083"/>
      <c r="L159" s="2083"/>
      <c r="M159" s="2083"/>
      <c r="N159" s="2083"/>
      <c r="O159" s="2083"/>
      <c r="P159" s="2083"/>
      <c r="Q159" s="2084">
        <v>55</v>
      </c>
      <c r="R159" s="2084"/>
      <c r="S159" s="2084"/>
      <c r="T159" s="2085"/>
      <c r="U159" s="2085"/>
      <c r="V159" s="2085"/>
      <c r="W159" s="2085"/>
      <c r="X159" s="2085"/>
      <c r="Y159" s="2085"/>
      <c r="Z159" s="2085"/>
      <c r="AA159" s="2085"/>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2" t="s">
        <v>2047</v>
      </c>
      <c r="D160" s="2083"/>
      <c r="E160" s="2083"/>
      <c r="F160" s="2083"/>
      <c r="G160" s="2083"/>
      <c r="H160" s="2083"/>
      <c r="I160" s="2083"/>
      <c r="J160" s="2083"/>
      <c r="K160" s="2083"/>
      <c r="L160" s="2083"/>
      <c r="M160" s="2083"/>
      <c r="N160" s="2083"/>
      <c r="O160" s="2083"/>
      <c r="P160" s="2083"/>
      <c r="Q160" s="2084">
        <v>55</v>
      </c>
      <c r="R160" s="2084"/>
      <c r="S160" s="2084"/>
      <c r="T160" s="2086"/>
      <c r="U160" s="2086"/>
      <c r="V160" s="2086"/>
      <c r="W160" s="2086"/>
      <c r="X160" s="2086"/>
      <c r="Y160" s="2086"/>
      <c r="Z160" s="2086"/>
      <c r="AA160" s="2086"/>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2" t="s">
        <v>2048</v>
      </c>
      <c r="D161" s="2083"/>
      <c r="E161" s="2083"/>
      <c r="F161" s="2083"/>
      <c r="G161" s="2083"/>
      <c r="H161" s="2083"/>
      <c r="I161" s="2083"/>
      <c r="J161" s="2083"/>
      <c r="K161" s="2083"/>
      <c r="L161" s="2083"/>
      <c r="M161" s="2083"/>
      <c r="N161" s="2083"/>
      <c r="O161" s="2083"/>
      <c r="P161" s="2083"/>
      <c r="Q161" s="2084">
        <v>55</v>
      </c>
      <c r="R161" s="2084"/>
      <c r="S161" s="2084"/>
      <c r="T161" s="2085"/>
      <c r="U161" s="2085"/>
      <c r="V161" s="2085"/>
      <c r="W161" s="2085"/>
      <c r="X161" s="2085"/>
      <c r="Y161" s="2085"/>
      <c r="Z161" s="2085"/>
      <c r="AA161" s="2085"/>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2" t="s">
        <v>1974</v>
      </c>
      <c r="D162" s="2083"/>
      <c r="E162" s="2083"/>
      <c r="F162" s="2083"/>
      <c r="G162" s="2083"/>
      <c r="H162" s="2083"/>
      <c r="I162" s="2083"/>
      <c r="J162" s="2083"/>
      <c r="K162" s="2083"/>
      <c r="L162" s="2083"/>
      <c r="M162" s="2083"/>
      <c r="N162" s="2083"/>
      <c r="O162" s="2083"/>
      <c r="P162" s="2083"/>
      <c r="Q162" s="2084">
        <v>55</v>
      </c>
      <c r="R162" s="2084"/>
      <c r="S162" s="2084"/>
      <c r="T162" s="2085"/>
      <c r="U162" s="2085"/>
      <c r="V162" s="2085"/>
      <c r="W162" s="2085"/>
      <c r="X162" s="2085"/>
      <c r="Y162" s="2085"/>
      <c r="Z162" s="2085"/>
      <c r="AA162" s="2085"/>
      <c r="AB162" s="2088">
        <v>0</v>
      </c>
      <c r="AC162" s="2088"/>
      <c r="AD162" s="2088"/>
      <c r="AE162" s="2088"/>
      <c r="AF162" s="2088"/>
      <c r="AG162" s="2089"/>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2" t="s">
        <v>233</v>
      </c>
      <c r="D163" s="2083"/>
      <c r="E163" s="2083"/>
      <c r="F163" s="2090" t="s">
        <v>2049</v>
      </c>
      <c r="G163" s="2090"/>
      <c r="H163" s="2090"/>
      <c r="I163" s="2090"/>
      <c r="J163" s="2090"/>
      <c r="K163" s="2090"/>
      <c r="L163" s="2090"/>
      <c r="M163" s="2090"/>
      <c r="N163" s="2090"/>
      <c r="O163" s="2090"/>
      <c r="P163" s="2090"/>
      <c r="Q163" s="2084">
        <v>55</v>
      </c>
      <c r="R163" s="2084"/>
      <c r="S163" s="2084"/>
      <c r="T163" s="2086"/>
      <c r="U163" s="2086"/>
      <c r="V163" s="2086"/>
      <c r="W163" s="2086"/>
      <c r="X163" s="2086"/>
      <c r="Y163" s="2086"/>
      <c r="Z163" s="2086"/>
      <c r="AA163" s="2086"/>
      <c r="AB163" s="2088">
        <v>0</v>
      </c>
      <c r="AC163" s="2088"/>
      <c r="AD163" s="2088"/>
      <c r="AE163" s="2088"/>
      <c r="AF163" s="2088"/>
      <c r="AG163" s="2089"/>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2" t="s">
        <v>233</v>
      </c>
      <c r="D164" s="2083"/>
      <c r="E164" s="2083"/>
      <c r="F164" s="2090" t="s">
        <v>2049</v>
      </c>
      <c r="G164" s="2090"/>
      <c r="H164" s="2090"/>
      <c r="I164" s="2090"/>
      <c r="J164" s="2090"/>
      <c r="K164" s="2090"/>
      <c r="L164" s="2090"/>
      <c r="M164" s="2090"/>
      <c r="N164" s="2090"/>
      <c r="O164" s="2090"/>
      <c r="P164" s="2090"/>
      <c r="Q164" s="2084">
        <v>55</v>
      </c>
      <c r="R164" s="2084"/>
      <c r="S164" s="2084"/>
      <c r="T164" s="2086"/>
      <c r="U164" s="2086"/>
      <c r="V164" s="2086"/>
      <c r="W164" s="2086"/>
      <c r="X164" s="2086"/>
      <c r="Y164" s="2086"/>
      <c r="Z164" s="2086"/>
      <c r="AA164" s="2086"/>
      <c r="AB164" s="2088">
        <v>0</v>
      </c>
      <c r="AC164" s="2088"/>
      <c r="AD164" s="2088"/>
      <c r="AE164" s="2088"/>
      <c r="AF164" s="2088"/>
      <c r="AG164" s="2089"/>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1" t="s">
        <v>233</v>
      </c>
      <c r="D165" s="2092"/>
      <c r="E165" s="2092"/>
      <c r="F165" s="2093" t="s">
        <v>2049</v>
      </c>
      <c r="G165" s="2093"/>
      <c r="H165" s="2093"/>
      <c r="I165" s="2093"/>
      <c r="J165" s="2093"/>
      <c r="K165" s="2093"/>
      <c r="L165" s="2093"/>
      <c r="M165" s="2093"/>
      <c r="N165" s="2093"/>
      <c r="O165" s="2093"/>
      <c r="P165" s="2093"/>
      <c r="Q165" s="2094">
        <v>55</v>
      </c>
      <c r="R165" s="2094"/>
      <c r="S165" s="2094"/>
      <c r="T165" s="2095"/>
      <c r="U165" s="2095"/>
      <c r="V165" s="2095"/>
      <c r="W165" s="2095"/>
      <c r="X165" s="2095"/>
      <c r="Y165" s="2095"/>
      <c r="Z165" s="2095"/>
      <c r="AA165" s="2095"/>
      <c r="AB165" s="2096">
        <v>0</v>
      </c>
      <c r="AC165" s="2096"/>
      <c r="AD165" s="2096"/>
      <c r="AE165" s="2096"/>
      <c r="AF165" s="2096"/>
      <c r="AG165" s="2097"/>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4" t="s">
        <v>2050</v>
      </c>
      <c r="D167" s="1995"/>
      <c r="E167" s="1995"/>
      <c r="F167" s="1995"/>
      <c r="G167" s="1995"/>
      <c r="H167" s="1995"/>
      <c r="I167" s="1995"/>
      <c r="J167" s="1995"/>
      <c r="K167" s="1995"/>
      <c r="L167" s="1995"/>
      <c r="M167" s="1995"/>
      <c r="N167" s="2033"/>
      <c r="O167" s="1097"/>
      <c r="P167" s="2098" t="s">
        <v>2051</v>
      </c>
      <c r="Q167" s="2099"/>
      <c r="R167" s="2099"/>
      <c r="S167" s="2099"/>
      <c r="T167" s="2099"/>
      <c r="U167" s="2099"/>
      <c r="V167" s="2099"/>
      <c r="W167" s="2099"/>
      <c r="X167" s="2099"/>
      <c r="Y167" s="2099"/>
      <c r="Z167" s="2099"/>
      <c r="AA167" s="2099"/>
      <c r="AB167" s="2099"/>
      <c r="AC167" s="2099"/>
      <c r="AD167" s="2099"/>
      <c r="AE167" s="2099"/>
      <c r="AF167" s="2099"/>
      <c r="AG167" s="2099"/>
      <c r="AH167" s="2099"/>
      <c r="AI167" s="2099"/>
      <c r="AJ167" s="2099"/>
      <c r="AK167" s="2099"/>
      <c r="AL167" s="2099"/>
      <c r="AM167" s="2099"/>
      <c r="AN167" s="2099"/>
      <c r="AO167" s="2100"/>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6" t="s">
        <v>2052</v>
      </c>
      <c r="D168" s="2077"/>
      <c r="E168" s="2077"/>
      <c r="F168" s="2077"/>
      <c r="G168" s="2077"/>
      <c r="H168" s="2077"/>
      <c r="I168" s="2077" t="s">
        <v>2053</v>
      </c>
      <c r="J168" s="2077"/>
      <c r="K168" s="2077"/>
      <c r="L168" s="2077"/>
      <c r="M168" s="2077"/>
      <c r="N168" s="2087"/>
      <c r="O168" s="1097"/>
      <c r="P168" s="1998" t="s">
        <v>2001</v>
      </c>
      <c r="Q168" s="1999"/>
      <c r="R168" s="1999"/>
      <c r="S168" s="1999"/>
      <c r="T168" s="1999"/>
      <c r="U168" s="1999"/>
      <c r="V168" s="1999"/>
      <c r="W168" s="1999"/>
      <c r="X168" s="1999"/>
      <c r="Y168" s="1999"/>
      <c r="Z168" s="1999"/>
      <c r="AA168" s="1999"/>
      <c r="AB168" s="1999"/>
      <c r="AC168" s="1999"/>
      <c r="AD168" s="1999"/>
      <c r="AE168" s="1999"/>
      <c r="AF168" s="1999"/>
      <c r="AG168" s="1999"/>
      <c r="AH168" s="1999"/>
      <c r="AI168" s="1999"/>
      <c r="AJ168" s="1999"/>
      <c r="AK168" s="1999"/>
      <c r="AL168" s="1999"/>
      <c r="AM168" s="1999"/>
      <c r="AN168" s="1999"/>
      <c r="AO168" s="2000"/>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4"/>
      <c r="D169" s="1954"/>
      <c r="E169" s="1954"/>
      <c r="F169" s="1954"/>
      <c r="G169" s="1954"/>
      <c r="H169" s="1954"/>
      <c r="I169" s="2085"/>
      <c r="J169" s="2085"/>
      <c r="K169" s="2085"/>
      <c r="L169" s="2085"/>
      <c r="M169" s="2085"/>
      <c r="N169" s="2101"/>
      <c r="O169" s="1097"/>
      <c r="P169" s="1998"/>
      <c r="Q169" s="1999"/>
      <c r="R169" s="1999"/>
      <c r="S169" s="1999"/>
      <c r="T169" s="1999"/>
      <c r="U169" s="1999"/>
      <c r="V169" s="1999"/>
      <c r="W169" s="1999"/>
      <c r="X169" s="1999"/>
      <c r="Y169" s="1999"/>
      <c r="Z169" s="1999"/>
      <c r="AA169" s="1999"/>
      <c r="AB169" s="1999"/>
      <c r="AC169" s="1999"/>
      <c r="AD169" s="1999"/>
      <c r="AE169" s="1999"/>
      <c r="AF169" s="1999"/>
      <c r="AG169" s="1999"/>
      <c r="AH169" s="1999"/>
      <c r="AI169" s="1999"/>
      <c r="AJ169" s="1999"/>
      <c r="AK169" s="1999"/>
      <c r="AL169" s="1999"/>
      <c r="AM169" s="1999"/>
      <c r="AN169" s="1999"/>
      <c r="AO169" s="2000"/>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4"/>
      <c r="D170" s="1954"/>
      <c r="E170" s="1954"/>
      <c r="F170" s="1954"/>
      <c r="G170" s="1954"/>
      <c r="H170" s="1954"/>
      <c r="I170" s="2085"/>
      <c r="J170" s="2085"/>
      <c r="K170" s="2085"/>
      <c r="L170" s="2085"/>
      <c r="M170" s="2085"/>
      <c r="N170" s="2101"/>
      <c r="O170" s="1097"/>
      <c r="P170" s="1998"/>
      <c r="Q170" s="1999"/>
      <c r="R170" s="1999"/>
      <c r="S170" s="1999"/>
      <c r="T170" s="1999"/>
      <c r="U170" s="1999"/>
      <c r="V170" s="1999"/>
      <c r="W170" s="1999"/>
      <c r="X170" s="1999"/>
      <c r="Y170" s="1999"/>
      <c r="Z170" s="1999"/>
      <c r="AA170" s="1999"/>
      <c r="AB170" s="1999"/>
      <c r="AC170" s="1999"/>
      <c r="AD170" s="1999"/>
      <c r="AE170" s="1999"/>
      <c r="AF170" s="1999"/>
      <c r="AG170" s="1999"/>
      <c r="AH170" s="1999"/>
      <c r="AI170" s="1999"/>
      <c r="AJ170" s="1999"/>
      <c r="AK170" s="1999"/>
      <c r="AL170" s="1999"/>
      <c r="AM170" s="1999"/>
      <c r="AN170" s="1999"/>
      <c r="AO170" s="2000"/>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4"/>
      <c r="D171" s="1954"/>
      <c r="E171" s="1954"/>
      <c r="F171" s="1954"/>
      <c r="G171" s="1954"/>
      <c r="H171" s="1954"/>
      <c r="I171" s="2085"/>
      <c r="J171" s="2085"/>
      <c r="K171" s="2085"/>
      <c r="L171" s="2085"/>
      <c r="M171" s="2085"/>
      <c r="N171" s="2101"/>
      <c r="O171" s="1097"/>
      <c r="P171" s="1998"/>
      <c r="Q171" s="1999"/>
      <c r="R171" s="1999"/>
      <c r="S171" s="1999"/>
      <c r="T171" s="1999"/>
      <c r="U171" s="1999"/>
      <c r="V171" s="1999"/>
      <c r="W171" s="1999"/>
      <c r="X171" s="1999"/>
      <c r="Y171" s="1999"/>
      <c r="Z171" s="1999"/>
      <c r="AA171" s="1999"/>
      <c r="AB171" s="1999"/>
      <c r="AC171" s="1999"/>
      <c r="AD171" s="1999"/>
      <c r="AE171" s="1999"/>
      <c r="AF171" s="1999"/>
      <c r="AG171" s="1999"/>
      <c r="AH171" s="1999"/>
      <c r="AI171" s="1999"/>
      <c r="AJ171" s="1999"/>
      <c r="AK171" s="1999"/>
      <c r="AL171" s="1999"/>
      <c r="AM171" s="1999"/>
      <c r="AN171" s="1999"/>
      <c r="AO171" s="2000"/>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4"/>
      <c r="D172" s="1954"/>
      <c r="E172" s="1954"/>
      <c r="F172" s="1954"/>
      <c r="G172" s="1954"/>
      <c r="H172" s="1954"/>
      <c r="I172" s="2085"/>
      <c r="J172" s="2085"/>
      <c r="K172" s="2085"/>
      <c r="L172" s="2085"/>
      <c r="M172" s="2085"/>
      <c r="N172" s="2101"/>
      <c r="O172" s="1097"/>
      <c r="P172" s="1998"/>
      <c r="Q172" s="1999"/>
      <c r="R172" s="1999"/>
      <c r="S172" s="1999"/>
      <c r="T172" s="1999"/>
      <c r="U172" s="1999"/>
      <c r="V172" s="1999"/>
      <c r="W172" s="1999"/>
      <c r="X172" s="1999"/>
      <c r="Y172" s="1999"/>
      <c r="Z172" s="1999"/>
      <c r="AA172" s="1999"/>
      <c r="AB172" s="1999"/>
      <c r="AC172" s="1999"/>
      <c r="AD172" s="1999"/>
      <c r="AE172" s="1999"/>
      <c r="AF172" s="1999"/>
      <c r="AG172" s="1999"/>
      <c r="AH172" s="1999"/>
      <c r="AI172" s="1999"/>
      <c r="AJ172" s="1999"/>
      <c r="AK172" s="1999"/>
      <c r="AL172" s="1999"/>
      <c r="AM172" s="1999"/>
      <c r="AN172" s="1999"/>
      <c r="AO172" s="2000"/>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4"/>
      <c r="D173" s="1954"/>
      <c r="E173" s="1954"/>
      <c r="F173" s="1954"/>
      <c r="G173" s="1954"/>
      <c r="H173" s="1954"/>
      <c r="I173" s="2085"/>
      <c r="J173" s="2085"/>
      <c r="K173" s="2085"/>
      <c r="L173" s="2085"/>
      <c r="M173" s="2085"/>
      <c r="N173" s="2101"/>
      <c r="O173" s="1097"/>
      <c r="P173" s="1998"/>
      <c r="Q173" s="1999"/>
      <c r="R173" s="1999"/>
      <c r="S173" s="1999"/>
      <c r="T173" s="1999"/>
      <c r="U173" s="1999"/>
      <c r="V173" s="1999"/>
      <c r="W173" s="1999"/>
      <c r="X173" s="1999"/>
      <c r="Y173" s="1999"/>
      <c r="Z173" s="1999"/>
      <c r="AA173" s="1999"/>
      <c r="AB173" s="1999"/>
      <c r="AC173" s="1999"/>
      <c r="AD173" s="1999"/>
      <c r="AE173" s="1999"/>
      <c r="AF173" s="1999"/>
      <c r="AG173" s="1999"/>
      <c r="AH173" s="1999"/>
      <c r="AI173" s="1999"/>
      <c r="AJ173" s="1999"/>
      <c r="AK173" s="1999"/>
      <c r="AL173" s="1999"/>
      <c r="AM173" s="1999"/>
      <c r="AN173" s="1999"/>
      <c r="AO173" s="2000"/>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4"/>
      <c r="D174" s="1954"/>
      <c r="E174" s="1954"/>
      <c r="F174" s="1954"/>
      <c r="G174" s="1954"/>
      <c r="H174" s="1954"/>
      <c r="I174" s="2085"/>
      <c r="J174" s="2085"/>
      <c r="K174" s="2085"/>
      <c r="L174" s="2085"/>
      <c r="M174" s="2085"/>
      <c r="N174" s="2101"/>
      <c r="O174" s="1097"/>
      <c r="P174" s="1998"/>
      <c r="Q174" s="1999"/>
      <c r="R174" s="1999"/>
      <c r="S174" s="1999"/>
      <c r="T174" s="1999"/>
      <c r="U174" s="1999"/>
      <c r="V174" s="1999"/>
      <c r="W174" s="1999"/>
      <c r="X174" s="1999"/>
      <c r="Y174" s="1999"/>
      <c r="Z174" s="1999"/>
      <c r="AA174" s="1999"/>
      <c r="AB174" s="1999"/>
      <c r="AC174" s="1999"/>
      <c r="AD174" s="1999"/>
      <c r="AE174" s="1999"/>
      <c r="AF174" s="1999"/>
      <c r="AG174" s="1999"/>
      <c r="AH174" s="1999"/>
      <c r="AI174" s="1999"/>
      <c r="AJ174" s="1999"/>
      <c r="AK174" s="1999"/>
      <c r="AL174" s="1999"/>
      <c r="AM174" s="1999"/>
      <c r="AN174" s="1999"/>
      <c r="AO174" s="2000"/>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2"/>
      <c r="D175" s="2103"/>
      <c r="E175" s="2103"/>
      <c r="F175" s="2103"/>
      <c r="G175" s="2103"/>
      <c r="H175" s="2103"/>
      <c r="I175" s="2104"/>
      <c r="J175" s="2104"/>
      <c r="K175" s="2104"/>
      <c r="L175" s="2104"/>
      <c r="M175" s="2104"/>
      <c r="N175" s="2105"/>
      <c r="O175" s="1097"/>
      <c r="P175" s="2001"/>
      <c r="Q175" s="2002"/>
      <c r="R175" s="2002"/>
      <c r="S175" s="2002"/>
      <c r="T175" s="2002"/>
      <c r="U175" s="2002"/>
      <c r="V175" s="2002"/>
      <c r="W175" s="2002"/>
      <c r="X175" s="2002"/>
      <c r="Y175" s="2002"/>
      <c r="Z175" s="2002"/>
      <c r="AA175" s="2002"/>
      <c r="AB175" s="2002"/>
      <c r="AC175" s="2002"/>
      <c r="AD175" s="2002"/>
      <c r="AE175" s="2002"/>
      <c r="AF175" s="2002"/>
      <c r="AG175" s="2002"/>
      <c r="AH175" s="2002"/>
      <c r="AI175" s="2002"/>
      <c r="AJ175" s="2002"/>
      <c r="AK175" s="2002"/>
      <c r="AL175" s="2002"/>
      <c r="AM175" s="2002"/>
      <c r="AN175" s="2002"/>
      <c r="AO175" s="2003"/>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09" t="s">
        <v>2054</v>
      </c>
      <c r="D177" s="2110"/>
      <c r="E177" s="2110"/>
      <c r="F177" s="2110"/>
      <c r="G177" s="2110"/>
      <c r="H177" s="2110"/>
      <c r="I177" s="2110"/>
      <c r="J177" s="2110"/>
      <c r="K177" s="2110"/>
      <c r="L177" s="2110"/>
      <c r="M177" s="2110"/>
      <c r="N177" s="2110"/>
      <c r="O177" s="2110"/>
      <c r="P177" s="2110"/>
      <c r="Q177" s="2110"/>
      <c r="R177" s="2110"/>
      <c r="S177" s="2110"/>
      <c r="T177" s="2110"/>
      <c r="U177" s="2110"/>
      <c r="V177" s="2110"/>
      <c r="W177" s="2110"/>
      <c r="X177" s="2110"/>
      <c r="Y177" s="2110"/>
      <c r="Z177" s="2110"/>
      <c r="AA177" s="2110"/>
      <c r="AB177" s="2110"/>
      <c r="AC177" s="2110"/>
      <c r="AD177" s="2110"/>
      <c r="AE177" s="2111"/>
      <c r="AF177" s="1097"/>
      <c r="AG177" s="1097"/>
      <c r="AH177" s="2119"/>
      <c r="AI177" s="2119"/>
      <c r="AJ177" s="2119"/>
      <c r="AK177" s="2119"/>
      <c r="AL177" s="2119"/>
      <c r="AM177" s="2119"/>
      <c r="AN177" s="2119"/>
      <c r="AO177" s="2119"/>
      <c r="AP177" s="2119"/>
      <c r="AQ177" s="2119"/>
      <c r="AR177" s="2119"/>
      <c r="AS177" s="2119"/>
      <c r="AT177" s="2119"/>
      <c r="AU177" s="2119"/>
      <c r="AV177" s="2119"/>
      <c r="AW177" s="2119"/>
      <c r="AX177" s="2119"/>
      <c r="AY177" s="2119"/>
      <c r="AZ177" s="2119"/>
      <c r="BA177" s="2119"/>
      <c r="BB177" s="2119"/>
      <c r="BC177" s="2119"/>
      <c r="BD177" s="2119"/>
      <c r="BE177" s="2119"/>
    </row>
    <row r="178" spans="1:57" ht="15.75" customHeight="1" thickBot="1">
      <c r="A178" s="1097"/>
      <c r="B178" s="1097"/>
      <c r="C178" s="2112"/>
      <c r="D178" s="2113"/>
      <c r="E178" s="2113"/>
      <c r="F178" s="2113"/>
      <c r="G178" s="2113"/>
      <c r="H178" s="2113"/>
      <c r="I178" s="2113"/>
      <c r="J178" s="2113"/>
      <c r="K178" s="2113"/>
      <c r="L178" s="2113"/>
      <c r="M178" s="2113"/>
      <c r="N178" s="2113"/>
      <c r="O178" s="2113"/>
      <c r="P178" s="2113"/>
      <c r="Q178" s="2113"/>
      <c r="R178" s="2113"/>
      <c r="S178" s="2113"/>
      <c r="T178" s="2113"/>
      <c r="U178" s="2113"/>
      <c r="V178" s="2113"/>
      <c r="W178" s="2113"/>
      <c r="X178" s="2113"/>
      <c r="Y178" s="2113"/>
      <c r="Z178" s="2113"/>
      <c r="AA178" s="2113"/>
      <c r="AB178" s="2113"/>
      <c r="AC178" s="2113"/>
      <c r="AD178" s="2113"/>
      <c r="AE178" s="2114"/>
      <c r="AF178" s="1097"/>
      <c r="AG178" s="1097"/>
      <c r="AH178" s="2119"/>
      <c r="AI178" s="2119"/>
      <c r="AJ178" s="2119"/>
      <c r="AK178" s="2119"/>
      <c r="AL178" s="2119"/>
      <c r="AM178" s="2119"/>
      <c r="AN178" s="2119"/>
      <c r="AO178" s="2119"/>
      <c r="AP178" s="2119"/>
      <c r="AQ178" s="2119"/>
      <c r="AR178" s="2119"/>
      <c r="AS178" s="2119"/>
      <c r="AT178" s="2119"/>
      <c r="AU178" s="2119"/>
      <c r="AV178" s="2119"/>
      <c r="AW178" s="2119"/>
      <c r="AX178" s="2119"/>
      <c r="AY178" s="2119"/>
      <c r="AZ178" s="2119"/>
      <c r="BA178" s="2119"/>
      <c r="BB178" s="2119"/>
      <c r="BC178" s="2119"/>
      <c r="BD178" s="2119"/>
      <c r="BE178" s="2119"/>
    </row>
    <row r="179" spans="1:57" ht="15.75" customHeight="1">
      <c r="A179" s="1097"/>
      <c r="B179" s="1097"/>
      <c r="C179" s="1994" t="s">
        <v>2042</v>
      </c>
      <c r="D179" s="1995"/>
      <c r="E179" s="1995"/>
      <c r="F179" s="1995"/>
      <c r="G179" s="1995"/>
      <c r="H179" s="1995"/>
      <c r="I179" s="1995"/>
      <c r="J179" s="1995"/>
      <c r="K179" s="1995"/>
      <c r="L179" s="1995"/>
      <c r="M179" s="1995"/>
      <c r="N179" s="1995" t="s">
        <v>2055</v>
      </c>
      <c r="O179" s="1995"/>
      <c r="P179" s="1995"/>
      <c r="Q179" s="1995"/>
      <c r="R179" s="1995"/>
      <c r="S179" s="1995"/>
      <c r="T179" s="1995"/>
      <c r="U179" s="1948" t="s">
        <v>2042</v>
      </c>
      <c r="V179" s="1948"/>
      <c r="W179" s="1948"/>
      <c r="X179" s="1948"/>
      <c r="Y179" s="1948"/>
      <c r="Z179" s="1948"/>
      <c r="AA179" s="1948"/>
      <c r="AB179" s="1948"/>
      <c r="AC179" s="1948"/>
      <c r="AD179" s="1948"/>
      <c r="AE179" s="1949"/>
      <c r="AF179" s="1097"/>
      <c r="AG179" s="1097"/>
      <c r="AH179" s="2119"/>
      <c r="AI179" s="2119"/>
      <c r="AJ179" s="2119"/>
      <c r="AK179" s="2119"/>
      <c r="AL179" s="2119"/>
      <c r="AM179" s="2119"/>
      <c r="AN179" s="2119"/>
      <c r="AO179" s="2119"/>
      <c r="AP179" s="2119"/>
      <c r="AQ179" s="2119"/>
      <c r="AR179" s="2119"/>
      <c r="AS179" s="2119"/>
      <c r="AT179" s="2119"/>
      <c r="AU179" s="2119"/>
      <c r="AV179" s="2119"/>
      <c r="AW179" s="2119"/>
      <c r="AX179" s="2119"/>
      <c r="AY179" s="2119"/>
      <c r="AZ179" s="2119"/>
      <c r="BA179" s="2119"/>
      <c r="BB179" s="2119"/>
      <c r="BC179" s="2119"/>
      <c r="BD179" s="2119"/>
      <c r="BE179" s="2119"/>
    </row>
    <row r="180" spans="1:57" ht="15.75" customHeight="1">
      <c r="A180" s="1097"/>
      <c r="B180" s="1097"/>
      <c r="C180" s="2106" t="s">
        <v>2056</v>
      </c>
      <c r="D180" s="2107"/>
      <c r="E180" s="2107"/>
      <c r="F180" s="2107"/>
      <c r="G180" s="2107"/>
      <c r="H180" s="2107"/>
      <c r="I180" s="2107"/>
      <c r="J180" s="2107"/>
      <c r="K180" s="2107"/>
      <c r="L180" s="2107"/>
      <c r="M180" s="2107"/>
      <c r="N180" s="2108">
        <f>'Sources and Uses Budget'!B105</f>
        <v>82176624</v>
      </c>
      <c r="O180" s="2108"/>
      <c r="P180" s="2108"/>
      <c r="Q180" s="2108"/>
      <c r="R180" s="2108"/>
      <c r="S180" s="2108"/>
      <c r="T180" s="2108"/>
      <c r="U180" s="2120"/>
      <c r="V180" s="2120"/>
      <c r="W180" s="2120"/>
      <c r="X180" s="2120"/>
      <c r="Y180" s="2120"/>
      <c r="Z180" s="2120"/>
      <c r="AA180" s="2120"/>
      <c r="AB180" s="2120"/>
      <c r="AC180" s="2120"/>
      <c r="AD180" s="2120"/>
      <c r="AE180" s="2121"/>
      <c r="AF180" s="1097"/>
      <c r="AG180" s="1097"/>
      <c r="AH180" s="2119"/>
      <c r="AI180" s="2119"/>
      <c r="AJ180" s="2119"/>
      <c r="AK180" s="2119"/>
      <c r="AL180" s="2119"/>
      <c r="AM180" s="2119"/>
      <c r="AN180" s="2119"/>
      <c r="AO180" s="2119"/>
      <c r="AP180" s="2119"/>
      <c r="AQ180" s="2119"/>
      <c r="AR180" s="2119"/>
      <c r="AS180" s="2119"/>
      <c r="AT180" s="2119"/>
      <c r="AU180" s="2119"/>
      <c r="AV180" s="2119"/>
      <c r="AW180" s="2119"/>
      <c r="AX180" s="2119"/>
      <c r="AY180" s="2119"/>
      <c r="AZ180" s="2119"/>
      <c r="BA180" s="2119"/>
      <c r="BB180" s="2119"/>
      <c r="BC180" s="2119"/>
      <c r="BD180" s="2119"/>
      <c r="BE180" s="2119"/>
    </row>
    <row r="181" spans="1:57" ht="15.75" customHeight="1">
      <c r="A181" s="1097"/>
      <c r="B181" s="1097"/>
      <c r="C181" s="2106" t="s">
        <v>2057</v>
      </c>
      <c r="D181" s="2107"/>
      <c r="E181" s="2107"/>
      <c r="F181" s="2107"/>
      <c r="G181" s="2107"/>
      <c r="H181" s="2107"/>
      <c r="I181" s="2107"/>
      <c r="J181" s="2107"/>
      <c r="K181" s="2107"/>
      <c r="L181" s="2107"/>
      <c r="M181" s="2107"/>
      <c r="N181" s="2108">
        <f>N180/J29</f>
        <v>821766.24</v>
      </c>
      <c r="O181" s="2108"/>
      <c r="P181" s="2108"/>
      <c r="Q181" s="2108"/>
      <c r="R181" s="2108"/>
      <c r="S181" s="2108"/>
      <c r="T181" s="2108"/>
      <c r="U181" s="1134"/>
      <c r="V181" s="1134"/>
      <c r="W181" s="1134"/>
      <c r="X181" s="1134"/>
      <c r="Y181" s="1134"/>
      <c r="Z181" s="1134"/>
      <c r="AA181" s="1134"/>
      <c r="AB181" s="1134"/>
      <c r="AC181" s="1134"/>
      <c r="AD181" s="1134"/>
      <c r="AE181" s="1135"/>
      <c r="AF181" s="1097"/>
      <c r="AG181" s="1097"/>
      <c r="AH181" s="2119"/>
      <c r="AI181" s="2119"/>
      <c r="AJ181" s="2119"/>
      <c r="AK181" s="2119"/>
      <c r="AL181" s="2119"/>
      <c r="AM181" s="2119"/>
      <c r="AN181" s="2119"/>
      <c r="AO181" s="2119"/>
      <c r="AP181" s="2119"/>
      <c r="AQ181" s="2119"/>
      <c r="AR181" s="2119"/>
      <c r="AS181" s="2119"/>
      <c r="AT181" s="2119"/>
      <c r="AU181" s="2119"/>
      <c r="AV181" s="2119"/>
      <c r="AW181" s="2119"/>
      <c r="AX181" s="2119"/>
      <c r="AY181" s="2119"/>
      <c r="AZ181" s="2119"/>
      <c r="BA181" s="2119"/>
      <c r="BB181" s="2119"/>
      <c r="BC181" s="2119"/>
      <c r="BD181" s="2119"/>
      <c r="BE181" s="2119"/>
    </row>
    <row r="182" spans="1:57" ht="15.75" customHeight="1">
      <c r="A182" s="1097"/>
      <c r="B182" s="1097"/>
      <c r="C182" s="2122" t="s">
        <v>2058</v>
      </c>
      <c r="D182" s="2123"/>
      <c r="E182" s="2123"/>
      <c r="F182" s="2123"/>
      <c r="G182" s="2123"/>
      <c r="H182" s="2123"/>
      <c r="I182" s="2123"/>
      <c r="J182" s="2123"/>
      <c r="K182" s="2123"/>
      <c r="L182" s="2123"/>
      <c r="M182" s="2123"/>
      <c r="N182" s="1988">
        <v>0</v>
      </c>
      <c r="O182" s="1988"/>
      <c r="P182" s="1988"/>
      <c r="Q182" s="1988"/>
      <c r="R182" s="1988"/>
      <c r="S182" s="1988"/>
      <c r="T182" s="1988"/>
      <c r="U182" s="1966"/>
      <c r="V182" s="1966"/>
      <c r="W182" s="1966"/>
      <c r="X182" s="1966"/>
      <c r="Y182" s="1966"/>
      <c r="Z182" s="1966"/>
      <c r="AA182" s="1966"/>
      <c r="AB182" s="1966"/>
      <c r="AC182" s="1966"/>
      <c r="AD182" s="1966"/>
      <c r="AE182" s="1967"/>
      <c r="AF182" s="1097"/>
      <c r="AG182" s="1097"/>
      <c r="AH182" s="2119"/>
      <c r="AI182" s="2119"/>
      <c r="AJ182" s="2119"/>
      <c r="AK182" s="2119"/>
      <c r="AL182" s="2119"/>
      <c r="AM182" s="2119"/>
      <c r="AN182" s="2119"/>
      <c r="AO182" s="2119"/>
      <c r="AP182" s="2119"/>
      <c r="AQ182" s="2119"/>
      <c r="AR182" s="2119"/>
      <c r="AS182" s="2119"/>
      <c r="AT182" s="2119"/>
      <c r="AU182" s="2119"/>
      <c r="AV182" s="2119"/>
      <c r="AW182" s="2119"/>
      <c r="AX182" s="2119"/>
      <c r="AY182" s="2119"/>
      <c r="AZ182" s="2119"/>
      <c r="BA182" s="2119"/>
      <c r="BB182" s="2119"/>
      <c r="BC182" s="2119"/>
      <c r="BD182" s="2119"/>
      <c r="BE182" s="2119"/>
    </row>
    <row r="183" spans="1:57" ht="15.75" customHeight="1" thickBot="1">
      <c r="A183" s="1097"/>
      <c r="B183" s="1097"/>
      <c r="C183" s="2106" t="s">
        <v>2059</v>
      </c>
      <c r="D183" s="2107"/>
      <c r="E183" s="2107"/>
      <c r="F183" s="2107"/>
      <c r="G183" s="2107"/>
      <c r="H183" s="2107"/>
      <c r="I183" s="2107"/>
      <c r="J183" s="2107"/>
      <c r="K183" s="2107"/>
      <c r="L183" s="2107"/>
      <c r="M183" s="2107"/>
      <c r="N183" s="2124">
        <f>SUM('Sources and Uses Budget'!B85:B86)</f>
        <v>3036499</v>
      </c>
      <c r="O183" s="2124"/>
      <c r="P183" s="2124"/>
      <c r="Q183" s="2124"/>
      <c r="R183" s="2124"/>
      <c r="S183" s="2124"/>
      <c r="T183" s="2124"/>
      <c r="U183" s="1966"/>
      <c r="V183" s="1966"/>
      <c r="W183" s="1966"/>
      <c r="X183" s="1966"/>
      <c r="Y183" s="1966"/>
      <c r="Z183" s="1966"/>
      <c r="AA183" s="1966"/>
      <c r="AB183" s="1966"/>
      <c r="AC183" s="1966"/>
      <c r="AD183" s="1966"/>
      <c r="AE183" s="1967"/>
      <c r="AF183" s="1097"/>
      <c r="AG183" s="1097"/>
      <c r="AH183" s="2119"/>
      <c r="AI183" s="2119"/>
      <c r="AJ183" s="2119"/>
      <c r="AK183" s="2119"/>
      <c r="AL183" s="2119"/>
      <c r="AM183" s="2119"/>
      <c r="AN183" s="2119"/>
      <c r="AO183" s="2119"/>
      <c r="AP183" s="2119"/>
      <c r="AQ183" s="2119"/>
      <c r="AR183" s="2119"/>
      <c r="AS183" s="2119"/>
      <c r="AT183" s="2119"/>
      <c r="AU183" s="2119"/>
      <c r="AV183" s="2119"/>
      <c r="AW183" s="2119"/>
      <c r="AX183" s="2119"/>
      <c r="AY183" s="2119"/>
      <c r="AZ183" s="2119"/>
      <c r="BA183" s="2119"/>
      <c r="BB183" s="2119"/>
      <c r="BC183" s="2119"/>
      <c r="BD183" s="2119"/>
      <c r="BE183" s="2119"/>
    </row>
    <row r="184" spans="1:57" ht="15.75" customHeight="1" thickBot="1">
      <c r="A184" s="1097"/>
      <c r="B184" s="1097"/>
      <c r="C184" s="2106" t="s">
        <v>2060</v>
      </c>
      <c r="D184" s="2107"/>
      <c r="E184" s="2107"/>
      <c r="F184" s="2107"/>
      <c r="G184" s="2107"/>
      <c r="H184" s="2107"/>
      <c r="I184" s="2107"/>
      <c r="J184" s="2107"/>
      <c r="K184" s="2107"/>
      <c r="L184" s="2107"/>
      <c r="M184" s="2107"/>
      <c r="N184" s="2124">
        <f>'Sources and Uses Budget'!B8</f>
        <v>1846869</v>
      </c>
      <c r="O184" s="2124"/>
      <c r="P184" s="2124"/>
      <c r="Q184" s="2124"/>
      <c r="R184" s="2124"/>
      <c r="S184" s="2124"/>
      <c r="T184" s="2124"/>
      <c r="U184" s="1966"/>
      <c r="V184" s="1966"/>
      <c r="W184" s="1966"/>
      <c r="X184" s="1966"/>
      <c r="Y184" s="1966"/>
      <c r="Z184" s="1966"/>
      <c r="AA184" s="1966"/>
      <c r="AB184" s="1966"/>
      <c r="AC184" s="1966"/>
      <c r="AD184" s="1966"/>
      <c r="AE184" s="1967"/>
      <c r="AF184" s="1097"/>
      <c r="AG184" s="1097"/>
      <c r="AH184" s="2128" t="s">
        <v>1429</v>
      </c>
      <c r="AI184" s="2129"/>
      <c r="AJ184" s="2129"/>
      <c r="AK184" s="2129"/>
      <c r="AL184" s="2129"/>
      <c r="AM184" s="2129"/>
      <c r="AN184" s="2129"/>
      <c r="AO184" s="2129"/>
      <c r="AP184" s="2129"/>
      <c r="AQ184" s="2129"/>
      <c r="AR184" s="2129"/>
      <c r="AS184" s="2129"/>
      <c r="AT184" s="2129"/>
      <c r="AU184" s="2129"/>
      <c r="AV184" s="2129"/>
      <c r="AW184" s="2129"/>
      <c r="AX184" s="2129"/>
      <c r="AY184" s="2129"/>
      <c r="AZ184" s="2129"/>
      <c r="BA184" s="2129"/>
      <c r="BB184" s="2129"/>
      <c r="BC184" s="2129"/>
      <c r="BD184" s="2129"/>
      <c r="BE184" s="2130"/>
    </row>
    <row r="185" spans="1:57" ht="15.75" customHeight="1">
      <c r="A185" s="1097"/>
      <c r="B185" s="1097"/>
      <c r="C185" s="2106" t="s">
        <v>2061</v>
      </c>
      <c r="D185" s="2107"/>
      <c r="E185" s="2107"/>
      <c r="F185" s="2107"/>
      <c r="G185" s="2107"/>
      <c r="H185" s="2107"/>
      <c r="I185" s="2107"/>
      <c r="J185" s="2107"/>
      <c r="K185" s="2107"/>
      <c r="L185" s="2107"/>
      <c r="M185" s="2107"/>
      <c r="N185" s="2115">
        <v>0</v>
      </c>
      <c r="O185" s="2115"/>
      <c r="P185" s="2115"/>
      <c r="Q185" s="2115"/>
      <c r="R185" s="2115"/>
      <c r="S185" s="2115"/>
      <c r="T185" s="2115"/>
      <c r="U185" s="1966"/>
      <c r="V185" s="1966"/>
      <c r="W185" s="1966"/>
      <c r="X185" s="1966"/>
      <c r="Y185" s="1966"/>
      <c r="Z185" s="1966"/>
      <c r="AA185" s="1966"/>
      <c r="AB185" s="1966"/>
      <c r="AC185" s="1966"/>
      <c r="AD185" s="1966"/>
      <c r="AE185" s="1967"/>
      <c r="AF185" s="1097"/>
      <c r="AG185" s="1097"/>
      <c r="AH185" s="2131" t="s">
        <v>1429</v>
      </c>
      <c r="AI185" s="2132"/>
      <c r="AJ185" s="2132"/>
      <c r="AK185" s="2132"/>
      <c r="AL185" s="2132"/>
      <c r="AM185" s="2132"/>
      <c r="AN185" s="2132"/>
      <c r="AO185" s="2132"/>
      <c r="AP185" s="2132"/>
      <c r="AQ185" s="2132"/>
      <c r="AR185" s="2132"/>
      <c r="AS185" s="2132"/>
      <c r="AT185" s="2132"/>
      <c r="AU185" s="2133">
        <v>0</v>
      </c>
      <c r="AV185" s="2133"/>
      <c r="AW185" s="2133"/>
      <c r="AX185" s="2133"/>
      <c r="AY185" s="2133"/>
      <c r="AZ185" s="2133"/>
      <c r="BA185" s="2133"/>
      <c r="BB185" s="2133"/>
      <c r="BC185" s="2134"/>
      <c r="BD185" s="2135"/>
      <c r="BE185" s="2136"/>
    </row>
    <row r="186" spans="1:57" ht="15.75" customHeight="1">
      <c r="A186" s="1097"/>
      <c r="B186" s="1097"/>
      <c r="C186" s="2106" t="s">
        <v>2062</v>
      </c>
      <c r="D186" s="2107"/>
      <c r="E186" s="2107"/>
      <c r="F186" s="2107"/>
      <c r="G186" s="2107"/>
      <c r="H186" s="2107"/>
      <c r="I186" s="2107"/>
      <c r="J186" s="2107"/>
      <c r="K186" s="2107"/>
      <c r="L186" s="2107"/>
      <c r="M186" s="2107"/>
      <c r="N186" s="2115">
        <v>0</v>
      </c>
      <c r="O186" s="2115"/>
      <c r="P186" s="2115"/>
      <c r="Q186" s="2115"/>
      <c r="R186" s="2115"/>
      <c r="S186" s="2115"/>
      <c r="T186" s="2115"/>
      <c r="U186" s="1966"/>
      <c r="V186" s="1966"/>
      <c r="W186" s="1966"/>
      <c r="X186" s="1966"/>
      <c r="Y186" s="1966"/>
      <c r="Z186" s="1966"/>
      <c r="AA186" s="1966"/>
      <c r="AB186" s="1966"/>
      <c r="AC186" s="1966"/>
      <c r="AD186" s="1966"/>
      <c r="AE186" s="1967"/>
      <c r="AF186" s="1097"/>
      <c r="AG186" s="1097"/>
      <c r="AH186" s="2116" t="s">
        <v>2063</v>
      </c>
      <c r="AI186" s="2117"/>
      <c r="AJ186" s="2117"/>
      <c r="AK186" s="2117"/>
      <c r="AL186" s="2117"/>
      <c r="AM186" s="2117"/>
      <c r="AN186" s="2117"/>
      <c r="AO186" s="2117"/>
      <c r="AP186" s="2117"/>
      <c r="AQ186" s="2117"/>
      <c r="AR186" s="2117"/>
      <c r="AS186" s="2117"/>
      <c r="AT186" s="2117"/>
      <c r="AU186" s="2118"/>
      <c r="AV186" s="2118"/>
      <c r="AW186" s="2118"/>
      <c r="AX186" s="2118"/>
      <c r="AY186" s="2118"/>
      <c r="AZ186" s="2118"/>
      <c r="BA186" s="2118"/>
      <c r="BB186" s="2118"/>
      <c r="BC186" s="2125"/>
      <c r="BD186" s="2126"/>
      <c r="BE186" s="2127"/>
    </row>
    <row r="187" spans="1:57" ht="15.75" customHeight="1">
      <c r="A187" s="1097"/>
      <c r="B187" s="1097"/>
      <c r="C187" s="2141" t="s">
        <v>1070</v>
      </c>
      <c r="D187" s="2084"/>
      <c r="E187" s="2137" t="s">
        <v>2049</v>
      </c>
      <c r="F187" s="2137"/>
      <c r="G187" s="2137"/>
      <c r="H187" s="2137"/>
      <c r="I187" s="2137"/>
      <c r="J187" s="2137"/>
      <c r="K187" s="2137"/>
      <c r="L187" s="2137"/>
      <c r="M187" s="2137"/>
      <c r="N187" s="2115">
        <v>0</v>
      </c>
      <c r="O187" s="2115"/>
      <c r="P187" s="2115"/>
      <c r="Q187" s="2115"/>
      <c r="R187" s="2115"/>
      <c r="S187" s="2115"/>
      <c r="T187" s="2115"/>
      <c r="U187" s="1966"/>
      <c r="V187" s="1966"/>
      <c r="W187" s="1966"/>
      <c r="X187" s="1966"/>
      <c r="Y187" s="1966"/>
      <c r="Z187" s="1966"/>
      <c r="AA187" s="1966"/>
      <c r="AB187" s="1966"/>
      <c r="AC187" s="1966"/>
      <c r="AD187" s="1966"/>
      <c r="AE187" s="1967"/>
      <c r="AF187" s="1097"/>
      <c r="AG187" s="1097"/>
      <c r="AH187" s="2142" t="s">
        <v>2064</v>
      </c>
      <c r="AI187" s="2143"/>
      <c r="AJ187" s="2143"/>
      <c r="AK187" s="2143"/>
      <c r="AL187" s="2143"/>
      <c r="AM187" s="2143"/>
      <c r="AN187" s="2143"/>
      <c r="AO187" s="2143"/>
      <c r="AP187" s="2143"/>
      <c r="AQ187" s="2143"/>
      <c r="AR187" s="2143"/>
      <c r="AS187" s="2143"/>
      <c r="AT187" s="2143"/>
      <c r="AU187" s="2144">
        <f>SUM(AU185:BB186)</f>
        <v>0</v>
      </c>
      <c r="AV187" s="2144"/>
      <c r="AW187" s="2144"/>
      <c r="AX187" s="2144"/>
      <c r="AY187" s="2144"/>
      <c r="AZ187" s="2144"/>
      <c r="BA187" s="2144"/>
      <c r="BB187" s="2144"/>
      <c r="BC187" s="2125"/>
      <c r="BD187" s="2126"/>
      <c r="BE187" s="2127"/>
    </row>
    <row r="188" spans="1:57" ht="15.75" customHeight="1" thickBot="1">
      <c r="A188" s="1097"/>
      <c r="B188" s="1097"/>
      <c r="C188" s="2004" t="s">
        <v>1070</v>
      </c>
      <c r="D188" s="1954"/>
      <c r="E188" s="2137" t="s">
        <v>2049</v>
      </c>
      <c r="F188" s="2137"/>
      <c r="G188" s="2137"/>
      <c r="H188" s="2137"/>
      <c r="I188" s="2137"/>
      <c r="J188" s="2137"/>
      <c r="K188" s="2137"/>
      <c r="L188" s="2137"/>
      <c r="M188" s="2137"/>
      <c r="N188" s="2115">
        <v>0</v>
      </c>
      <c r="O188" s="2115"/>
      <c r="P188" s="2115"/>
      <c r="Q188" s="2115"/>
      <c r="R188" s="2115"/>
      <c r="S188" s="2115"/>
      <c r="T188" s="2115"/>
      <c r="U188" s="1966"/>
      <c r="V188" s="1966"/>
      <c r="W188" s="1966"/>
      <c r="X188" s="1966"/>
      <c r="Y188" s="1966"/>
      <c r="Z188" s="1966"/>
      <c r="AA188" s="1966"/>
      <c r="AB188" s="1966"/>
      <c r="AC188" s="1966"/>
      <c r="AD188" s="1966"/>
      <c r="AE188" s="1967"/>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8"/>
      <c r="BD188" s="2139"/>
      <c r="BE188" s="2140"/>
    </row>
    <row r="189" spans="1:57" ht="15.75" customHeight="1" thickBot="1">
      <c r="A189" s="1097"/>
      <c r="B189" s="1097"/>
      <c r="C189" s="2162" t="s">
        <v>1070</v>
      </c>
      <c r="D189" s="2163"/>
      <c r="E189" s="2164" t="s">
        <v>2049</v>
      </c>
      <c r="F189" s="2164"/>
      <c r="G189" s="2164"/>
      <c r="H189" s="2164"/>
      <c r="I189" s="2164"/>
      <c r="J189" s="2164"/>
      <c r="K189" s="2164"/>
      <c r="L189" s="2164"/>
      <c r="M189" s="2165"/>
      <c r="N189" s="2166">
        <v>0</v>
      </c>
      <c r="O189" s="2166"/>
      <c r="P189" s="2166"/>
      <c r="Q189" s="2166"/>
      <c r="R189" s="2166"/>
      <c r="S189" s="2166"/>
      <c r="T189" s="2167"/>
      <c r="U189" s="2168"/>
      <c r="V189" s="2169"/>
      <c r="W189" s="2169"/>
      <c r="X189" s="2169"/>
      <c r="Y189" s="2169"/>
      <c r="Z189" s="2169"/>
      <c r="AA189" s="2169"/>
      <c r="AB189" s="2169"/>
      <c r="AC189" s="2169"/>
      <c r="AD189" s="2169"/>
      <c r="AE189" s="2170"/>
      <c r="AF189" s="1097"/>
      <c r="AG189" s="1097"/>
      <c r="AH189" s="2171" t="s">
        <v>2065</v>
      </c>
      <c r="AI189" s="2172"/>
      <c r="AJ189" s="2172"/>
      <c r="AK189" s="2172"/>
      <c r="AL189" s="2172"/>
      <c r="AM189" s="2172"/>
      <c r="AN189" s="2172"/>
      <c r="AO189" s="2172"/>
      <c r="AP189" s="2172"/>
      <c r="AQ189" s="2172"/>
      <c r="AR189" s="2172"/>
      <c r="AS189" s="2172"/>
      <c r="AT189" s="2172"/>
      <c r="AU189" s="2173"/>
      <c r="AV189" s="2173"/>
      <c r="AW189" s="2173"/>
      <c r="AX189" s="2173"/>
      <c r="AY189" s="2173"/>
      <c r="AZ189" s="2173"/>
      <c r="BA189" s="2173"/>
      <c r="BB189" s="2173"/>
      <c r="BC189" s="1053"/>
      <c r="BD189" s="1053"/>
      <c r="BE189" s="1138"/>
    </row>
    <row r="190" spans="1:57" ht="15.75" customHeight="1">
      <c r="A190" s="1097"/>
      <c r="B190" s="1097"/>
      <c r="C190" s="2145" t="s">
        <v>2066</v>
      </c>
      <c r="D190" s="2146"/>
      <c r="E190" s="2146"/>
      <c r="F190" s="2146"/>
      <c r="G190" s="2146"/>
      <c r="H190" s="2146"/>
      <c r="I190" s="2146"/>
      <c r="J190" s="2146"/>
      <c r="K190" s="2146"/>
      <c r="L190" s="2146"/>
      <c r="M190" s="2146"/>
      <c r="N190" s="2147">
        <f>SUM(N182:T189)</f>
        <v>4883368</v>
      </c>
      <c r="O190" s="2147"/>
      <c r="P190" s="2147"/>
      <c r="Q190" s="2147"/>
      <c r="R190" s="2147"/>
      <c r="S190" s="2147"/>
      <c r="T190" s="2148"/>
      <c r="U190" s="1097"/>
      <c r="V190" s="1097"/>
      <c r="W190" s="1097"/>
      <c r="X190" s="1097"/>
      <c r="Y190" s="1097"/>
      <c r="Z190" s="1097"/>
      <c r="AA190" s="1097"/>
      <c r="AB190" s="1097"/>
      <c r="AC190" s="1097"/>
      <c r="AD190" s="1097"/>
      <c r="AE190" s="1097"/>
      <c r="AF190" s="1097"/>
      <c r="AG190" s="1097"/>
      <c r="AH190" s="2149" t="s">
        <v>2067</v>
      </c>
      <c r="AI190" s="2150"/>
      <c r="AJ190" s="2150"/>
      <c r="AK190" s="2150"/>
      <c r="AL190" s="2150"/>
      <c r="AM190" s="2150"/>
      <c r="AN190" s="2150"/>
      <c r="AO190" s="2150"/>
      <c r="AP190" s="2150"/>
      <c r="AQ190" s="2150"/>
      <c r="AR190" s="2150"/>
      <c r="AS190" s="2150"/>
      <c r="AT190" s="2150"/>
      <c r="AU190" s="2150"/>
      <c r="AV190" s="2150"/>
      <c r="AW190" s="2150"/>
      <c r="AX190" s="2150"/>
      <c r="AY190" s="2150"/>
      <c r="AZ190" s="2150"/>
      <c r="BA190" s="2150"/>
      <c r="BB190" s="2150"/>
      <c r="BC190" s="2150"/>
      <c r="BD190" s="2150"/>
      <c r="BE190" s="2151"/>
    </row>
    <row r="191" spans="1:57" ht="15.75" customHeight="1" thickBot="1">
      <c r="A191" s="1097"/>
      <c r="B191" s="1097"/>
      <c r="C191" s="2155" t="s">
        <v>2068</v>
      </c>
      <c r="D191" s="2156"/>
      <c r="E191" s="2156"/>
      <c r="F191" s="2156"/>
      <c r="G191" s="2156"/>
      <c r="H191" s="2156"/>
      <c r="I191" s="2156"/>
      <c r="J191" s="2156"/>
      <c r="K191" s="2156"/>
      <c r="L191" s="2156"/>
      <c r="M191" s="2156"/>
      <c r="N191" s="2157">
        <f>(N180-N190)/J29</f>
        <v>772932.56</v>
      </c>
      <c r="O191" s="2158"/>
      <c r="P191" s="2158"/>
      <c r="Q191" s="2158"/>
      <c r="R191" s="2158"/>
      <c r="S191" s="2158"/>
      <c r="T191" s="2159"/>
      <c r="U191" s="1102"/>
      <c r="V191" s="1097"/>
      <c r="W191" s="1097"/>
      <c r="X191" s="1097"/>
      <c r="Y191" s="1097"/>
      <c r="Z191" s="1097"/>
      <c r="AA191" s="1097"/>
      <c r="AB191" s="1097"/>
      <c r="AC191" s="1097"/>
      <c r="AD191" s="1097"/>
      <c r="AE191" s="1097"/>
      <c r="AF191" s="1097"/>
      <c r="AG191" s="1097"/>
      <c r="AH191" s="2152"/>
      <c r="AI191" s="2153"/>
      <c r="AJ191" s="2153"/>
      <c r="AK191" s="2153"/>
      <c r="AL191" s="2153"/>
      <c r="AM191" s="2153"/>
      <c r="AN191" s="2153"/>
      <c r="AO191" s="2153"/>
      <c r="AP191" s="2153"/>
      <c r="AQ191" s="2153"/>
      <c r="AR191" s="2153"/>
      <c r="AS191" s="2153"/>
      <c r="AT191" s="2153"/>
      <c r="AU191" s="2153"/>
      <c r="AV191" s="2153"/>
      <c r="AW191" s="2153"/>
      <c r="AX191" s="2153"/>
      <c r="AY191" s="2153"/>
      <c r="AZ191" s="2153"/>
      <c r="BA191" s="2153"/>
      <c r="BB191" s="2153"/>
      <c r="BC191" s="2153"/>
      <c r="BD191" s="2153"/>
      <c r="BE191" s="2154"/>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0"/>
      <c r="AI192" s="2160"/>
      <c r="AJ192" s="2160"/>
      <c r="AK192" s="2160"/>
      <c r="AL192" s="2160"/>
      <c r="AM192" s="2160"/>
      <c r="AN192" s="2160"/>
      <c r="AO192" s="2160"/>
      <c r="AP192" s="2160"/>
      <c r="AQ192" s="2160"/>
      <c r="AR192" s="2160"/>
      <c r="AS192" s="2161"/>
      <c r="AT192" s="2161"/>
      <c r="AU192" s="2161"/>
      <c r="AV192" s="2161"/>
      <c r="AW192" s="2161"/>
      <c r="AX192" s="2161"/>
      <c r="AY192" s="2161"/>
      <c r="AZ192" s="2161"/>
      <c r="BA192" s="2161"/>
      <c r="BB192" s="2161"/>
      <c r="BC192" s="2161"/>
      <c r="BD192" s="2161"/>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79" t="s">
        <v>2069</v>
      </c>
      <c r="D194" s="2180"/>
      <c r="E194" s="2180"/>
      <c r="F194" s="2180"/>
      <c r="G194" s="2180"/>
      <c r="H194" s="2180"/>
      <c r="I194" s="2180"/>
      <c r="J194" s="2180"/>
      <c r="K194" s="2180"/>
      <c r="L194" s="2180"/>
      <c r="M194" s="2180"/>
      <c r="N194" s="2180"/>
      <c r="O194" s="2180"/>
      <c r="P194" s="2180"/>
      <c r="Q194" s="2180"/>
      <c r="R194" s="2180"/>
      <c r="S194" s="2180"/>
      <c r="T194" s="2180"/>
      <c r="U194" s="2180"/>
      <c r="V194" s="2180"/>
      <c r="W194" s="2180"/>
      <c r="X194" s="2180"/>
      <c r="Y194" s="2180"/>
      <c r="Z194" s="2180"/>
      <c r="AA194" s="2180"/>
      <c r="AB194" s="2180"/>
      <c r="AC194" s="2180"/>
      <c r="AD194" s="2180"/>
      <c r="AE194" s="2181"/>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2" t="s">
        <v>2070</v>
      </c>
      <c r="D195" s="2182"/>
      <c r="E195" s="2182"/>
      <c r="F195" s="2182"/>
      <c r="G195" s="2182"/>
      <c r="H195" s="2182"/>
      <c r="I195" s="2182"/>
      <c r="J195" s="2182"/>
      <c r="K195" s="2182"/>
      <c r="L195" s="2182"/>
      <c r="M195" s="2182"/>
      <c r="N195" s="2182"/>
      <c r="O195" s="2183" t="s">
        <v>2071</v>
      </c>
      <c r="P195" s="2183"/>
      <c r="Q195" s="2183"/>
      <c r="R195" s="2183"/>
      <c r="S195" s="2183"/>
      <c r="T195" s="2183"/>
      <c r="U195" s="2183"/>
      <c r="V195" s="2183"/>
      <c r="W195" s="2183"/>
      <c r="X195" s="2183" t="s">
        <v>2072</v>
      </c>
      <c r="Y195" s="2183"/>
      <c r="Z195" s="2183"/>
      <c r="AA195" s="2183"/>
      <c r="AB195" s="2183"/>
      <c r="AC195" s="2183"/>
      <c r="AD195" s="2183"/>
      <c r="AE195" s="2183"/>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4" t="s">
        <v>2073</v>
      </c>
      <c r="D196" s="2174"/>
      <c r="E196" s="2174"/>
      <c r="F196" s="2174"/>
      <c r="G196" s="2174"/>
      <c r="H196" s="2174"/>
      <c r="I196" s="2174"/>
      <c r="J196" s="2174"/>
      <c r="K196" s="2174"/>
      <c r="L196" s="2174"/>
      <c r="M196" s="2174"/>
      <c r="N196" s="2174"/>
      <c r="O196" s="2175" t="s">
        <v>2074</v>
      </c>
      <c r="P196" s="2175"/>
      <c r="Q196" s="2175"/>
      <c r="R196" s="2175"/>
      <c r="S196" s="2175"/>
      <c r="T196" s="2175"/>
      <c r="U196" s="2175"/>
      <c r="V196" s="2175"/>
      <c r="W196" s="2175"/>
      <c r="X196" s="2176">
        <v>0.03</v>
      </c>
      <c r="Y196" s="2176"/>
      <c r="Z196" s="2176"/>
      <c r="AA196" s="2176"/>
      <c r="AB196" s="2176"/>
      <c r="AC196" s="2176"/>
      <c r="AD196" s="2176"/>
      <c r="AE196" s="2176"/>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4" t="s">
        <v>2075</v>
      </c>
      <c r="D197" s="2174"/>
      <c r="E197" s="2174"/>
      <c r="F197" s="2174"/>
      <c r="G197" s="2174"/>
      <c r="H197" s="2174"/>
      <c r="I197" s="2174"/>
      <c r="J197" s="2174"/>
      <c r="K197" s="2174"/>
      <c r="L197" s="2174"/>
      <c r="M197" s="2174"/>
      <c r="N197" s="2174"/>
      <c r="O197" s="2175" t="s">
        <v>2074</v>
      </c>
      <c r="P197" s="2175"/>
      <c r="Q197" s="2175"/>
      <c r="R197" s="2175"/>
      <c r="S197" s="2175"/>
      <c r="T197" s="2175"/>
      <c r="U197" s="2175"/>
      <c r="V197" s="2175"/>
      <c r="W197" s="2175"/>
      <c r="X197" s="2176">
        <v>0.03</v>
      </c>
      <c r="Y197" s="2176"/>
      <c r="Z197" s="2176"/>
      <c r="AA197" s="2176"/>
      <c r="AB197" s="2176"/>
      <c r="AC197" s="2176"/>
      <c r="AD197" s="2176"/>
      <c r="AE197" s="2176"/>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4" t="s">
        <v>2076</v>
      </c>
      <c r="D198" s="2174"/>
      <c r="E198" s="2174"/>
      <c r="F198" s="2174"/>
      <c r="G198" s="2174"/>
      <c r="H198" s="2174"/>
      <c r="I198" s="2174"/>
      <c r="J198" s="2174"/>
      <c r="K198" s="2174"/>
      <c r="L198" s="2174"/>
      <c r="M198" s="2174"/>
      <c r="N198" s="2174"/>
      <c r="O198" s="2177">
        <f>SUM(O196:W197)</f>
        <v>0</v>
      </c>
      <c r="P198" s="2178"/>
      <c r="Q198" s="2178"/>
      <c r="R198" s="2178"/>
      <c r="S198" s="2178"/>
      <c r="T198" s="2178"/>
      <c r="U198" s="2178"/>
      <c r="V198" s="2178"/>
      <c r="W198" s="2178"/>
      <c r="X198" s="2178" t="s">
        <v>2077</v>
      </c>
      <c r="Y198" s="2178"/>
      <c r="Z198" s="2178"/>
      <c r="AA198" s="2178"/>
      <c r="AB198" s="2178"/>
      <c r="AC198" s="2178"/>
      <c r="AD198" s="2178"/>
      <c r="AE198" s="2178"/>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4" t="s">
        <v>2078</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4"/>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5" t="s">
        <v>2079</v>
      </c>
      <c r="D201" s="2186"/>
      <c r="E201" s="2186"/>
      <c r="F201" s="2186"/>
      <c r="G201" s="2186"/>
      <c r="H201" s="2186"/>
      <c r="I201" s="2186"/>
      <c r="J201" s="2186"/>
      <c r="K201" s="2186"/>
      <c r="L201" s="2186"/>
      <c r="M201" s="2186"/>
      <c r="N201" s="2186"/>
      <c r="O201" s="2186"/>
      <c r="P201" s="2186"/>
      <c r="Q201" s="2186"/>
      <c r="R201" s="2186"/>
      <c r="S201" s="2186"/>
      <c r="T201" s="2186"/>
      <c r="U201" s="2186"/>
      <c r="V201" s="2186"/>
      <c r="W201" s="2186"/>
      <c r="X201" s="2186"/>
      <c r="Y201" s="2186"/>
      <c r="Z201" s="2186"/>
      <c r="AA201" s="2186"/>
      <c r="AB201" s="2186"/>
      <c r="AC201" s="2186"/>
      <c r="AD201" s="2186"/>
      <c r="AE201" s="2186"/>
      <c r="AF201" s="2186"/>
      <c r="AG201" s="2186"/>
      <c r="AH201" s="2186"/>
      <c r="AI201" s="2186"/>
      <c r="AJ201" s="2186"/>
      <c r="AK201" s="2187"/>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8" t="s">
        <v>2080</v>
      </c>
      <c r="D202" s="2189"/>
      <c r="E202" s="2189"/>
      <c r="F202" s="2190"/>
      <c r="G202" s="2194" t="s">
        <v>2081</v>
      </c>
      <c r="H202" s="2189"/>
      <c r="I202" s="2189"/>
      <c r="J202" s="2189"/>
      <c r="K202" s="2189"/>
      <c r="L202" s="2189"/>
      <c r="M202" s="2189"/>
      <c r="N202" s="2189"/>
      <c r="O202" s="2190"/>
      <c r="P202" s="2196" t="s">
        <v>2082</v>
      </c>
      <c r="Q202" s="2197"/>
      <c r="R202" s="2197"/>
      <c r="S202" s="2197"/>
      <c r="T202" s="2198"/>
      <c r="U202" s="2202" t="s">
        <v>2083</v>
      </c>
      <c r="V202" s="2203"/>
      <c r="W202" s="2203"/>
      <c r="X202" s="2204"/>
      <c r="Y202" s="2202" t="s">
        <v>2084</v>
      </c>
      <c r="Z202" s="2203"/>
      <c r="AA202" s="2203"/>
      <c r="AB202" s="2204"/>
      <c r="AC202" s="2202" t="s">
        <v>2085</v>
      </c>
      <c r="AD202" s="2203"/>
      <c r="AE202" s="2203"/>
      <c r="AF202" s="2204"/>
      <c r="AG202" s="2194" t="s">
        <v>2086</v>
      </c>
      <c r="AH202" s="2189"/>
      <c r="AI202" s="2189"/>
      <c r="AJ202" s="2189"/>
      <c r="AK202" s="2208"/>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1"/>
      <c r="D203" s="2192"/>
      <c r="E203" s="2192"/>
      <c r="F203" s="2193"/>
      <c r="G203" s="2195"/>
      <c r="H203" s="2192"/>
      <c r="I203" s="2192"/>
      <c r="J203" s="2192"/>
      <c r="K203" s="2192"/>
      <c r="L203" s="2192"/>
      <c r="M203" s="2192"/>
      <c r="N203" s="2192"/>
      <c r="O203" s="2193"/>
      <c r="P203" s="2199"/>
      <c r="Q203" s="2200"/>
      <c r="R203" s="2200"/>
      <c r="S203" s="2200"/>
      <c r="T203" s="2201"/>
      <c r="U203" s="2205"/>
      <c r="V203" s="2206"/>
      <c r="W203" s="2206"/>
      <c r="X203" s="2207"/>
      <c r="Y203" s="2205"/>
      <c r="Z203" s="2206"/>
      <c r="AA203" s="2206"/>
      <c r="AB203" s="2207"/>
      <c r="AC203" s="2205"/>
      <c r="AD203" s="2206"/>
      <c r="AE203" s="2206"/>
      <c r="AF203" s="2207"/>
      <c r="AG203" s="2195"/>
      <c r="AH203" s="2192"/>
      <c r="AI203" s="2192"/>
      <c r="AJ203" s="2192"/>
      <c r="AK203" s="2209"/>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3">
        <v>1</v>
      </c>
      <c r="D204" s="2214"/>
      <c r="E204" s="2214"/>
      <c r="F204" s="2214"/>
      <c r="G204" s="2215" t="s">
        <v>2087</v>
      </c>
      <c r="H204" s="2215"/>
      <c r="I204" s="2215"/>
      <c r="J204" s="2215"/>
      <c r="K204" s="2215"/>
      <c r="L204" s="2215"/>
      <c r="M204" s="2215"/>
      <c r="N204" s="2215"/>
      <c r="O204" s="2215"/>
      <c r="P204" s="2216"/>
      <c r="Q204" s="2219"/>
      <c r="R204" s="2219"/>
      <c r="S204" s="2219"/>
      <c r="T204" s="2219"/>
      <c r="U204" s="2217" t="s">
        <v>2087</v>
      </c>
      <c r="V204" s="2217"/>
      <c r="W204" s="2217"/>
      <c r="X204" s="2217"/>
      <c r="Y204" s="2217" t="s">
        <v>2087</v>
      </c>
      <c r="Z204" s="2217"/>
      <c r="AA204" s="2217"/>
      <c r="AB204" s="2217"/>
      <c r="AC204" s="2218" t="s">
        <v>2087</v>
      </c>
      <c r="AD204" s="2218"/>
      <c r="AE204" s="2218"/>
      <c r="AF204" s="2218"/>
      <c r="AG204" s="2210"/>
      <c r="AH204" s="2211"/>
      <c r="AI204" s="2211"/>
      <c r="AJ204" s="2211"/>
      <c r="AK204" s="2212"/>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3">
        <v>2</v>
      </c>
      <c r="D205" s="2214"/>
      <c r="E205" s="2214"/>
      <c r="F205" s="2214"/>
      <c r="G205" s="2215" t="s">
        <v>2087</v>
      </c>
      <c r="H205" s="2215"/>
      <c r="I205" s="2215"/>
      <c r="J205" s="2215"/>
      <c r="K205" s="2215"/>
      <c r="L205" s="2215"/>
      <c r="M205" s="2215"/>
      <c r="N205" s="2215"/>
      <c r="O205" s="2215"/>
      <c r="P205" s="2216"/>
      <c r="Q205" s="2216"/>
      <c r="R205" s="2216"/>
      <c r="S205" s="2216"/>
      <c r="T205" s="2216"/>
      <c r="U205" s="2217" t="s">
        <v>2087</v>
      </c>
      <c r="V205" s="2217"/>
      <c r="W205" s="2217"/>
      <c r="X205" s="2217"/>
      <c r="Y205" s="2217" t="s">
        <v>2087</v>
      </c>
      <c r="Z205" s="2217"/>
      <c r="AA205" s="2217"/>
      <c r="AB205" s="2217"/>
      <c r="AC205" s="2218" t="s">
        <v>2087</v>
      </c>
      <c r="AD205" s="2218"/>
      <c r="AE205" s="2218"/>
      <c r="AF205" s="2218"/>
      <c r="AG205" s="2210"/>
      <c r="AH205" s="2211"/>
      <c r="AI205" s="2211"/>
      <c r="AJ205" s="2211"/>
      <c r="AK205" s="2212"/>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3">
        <v>3</v>
      </c>
      <c r="D206" s="2214"/>
      <c r="E206" s="2214"/>
      <c r="F206" s="2214"/>
      <c r="G206" s="2215" t="s">
        <v>2087</v>
      </c>
      <c r="H206" s="2215"/>
      <c r="I206" s="2215"/>
      <c r="J206" s="2215"/>
      <c r="K206" s="2215"/>
      <c r="L206" s="2215"/>
      <c r="M206" s="2215"/>
      <c r="N206" s="2215"/>
      <c r="O206" s="2215"/>
      <c r="P206" s="2216"/>
      <c r="Q206" s="2216"/>
      <c r="R206" s="2216"/>
      <c r="S206" s="2216"/>
      <c r="T206" s="2216"/>
      <c r="U206" s="2217" t="s">
        <v>2087</v>
      </c>
      <c r="V206" s="2217"/>
      <c r="W206" s="2217"/>
      <c r="X206" s="2217"/>
      <c r="Y206" s="2217" t="s">
        <v>2087</v>
      </c>
      <c r="Z206" s="2217"/>
      <c r="AA206" s="2217"/>
      <c r="AB206" s="2217"/>
      <c r="AC206" s="2218" t="s">
        <v>2087</v>
      </c>
      <c r="AD206" s="2218"/>
      <c r="AE206" s="2218"/>
      <c r="AF206" s="2218"/>
      <c r="AG206" s="2210"/>
      <c r="AH206" s="2211"/>
      <c r="AI206" s="2211"/>
      <c r="AJ206" s="2211"/>
      <c r="AK206" s="2212"/>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3">
        <v>4</v>
      </c>
      <c r="D207" s="2214"/>
      <c r="E207" s="2214"/>
      <c r="F207" s="2214"/>
      <c r="G207" s="2215" t="s">
        <v>2087</v>
      </c>
      <c r="H207" s="2215"/>
      <c r="I207" s="2215"/>
      <c r="J207" s="2215"/>
      <c r="K207" s="2215"/>
      <c r="L207" s="2215"/>
      <c r="M207" s="2215"/>
      <c r="N207" s="2215"/>
      <c r="O207" s="2215"/>
      <c r="P207" s="2216"/>
      <c r="Q207" s="2216"/>
      <c r="R207" s="2216"/>
      <c r="S207" s="2216"/>
      <c r="T207" s="2216"/>
      <c r="U207" s="2217" t="s">
        <v>2087</v>
      </c>
      <c r="V207" s="2217"/>
      <c r="W207" s="2217"/>
      <c r="X207" s="2217"/>
      <c r="Y207" s="2217" t="s">
        <v>2087</v>
      </c>
      <c r="Z207" s="2217"/>
      <c r="AA207" s="2217"/>
      <c r="AB207" s="2217"/>
      <c r="AC207" s="2218" t="s">
        <v>2087</v>
      </c>
      <c r="AD207" s="2218"/>
      <c r="AE207" s="2218"/>
      <c r="AF207" s="2218"/>
      <c r="AG207" s="2210"/>
      <c r="AH207" s="2211"/>
      <c r="AI207" s="2211"/>
      <c r="AJ207" s="2211"/>
      <c r="AK207" s="2212"/>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3">
        <v>5</v>
      </c>
      <c r="D208" s="2214"/>
      <c r="E208" s="2214"/>
      <c r="F208" s="2214"/>
      <c r="G208" s="2215" t="s">
        <v>2087</v>
      </c>
      <c r="H208" s="2215"/>
      <c r="I208" s="2215"/>
      <c r="J208" s="2215"/>
      <c r="K208" s="2215"/>
      <c r="L208" s="2215"/>
      <c r="M208" s="2215"/>
      <c r="N208" s="2215"/>
      <c r="O208" s="2215"/>
      <c r="P208" s="2216"/>
      <c r="Q208" s="2216"/>
      <c r="R208" s="2216"/>
      <c r="S208" s="2216"/>
      <c r="T208" s="2216"/>
      <c r="U208" s="2217" t="s">
        <v>2087</v>
      </c>
      <c r="V208" s="2217"/>
      <c r="W208" s="2217"/>
      <c r="X208" s="2217"/>
      <c r="Y208" s="2217" t="s">
        <v>2087</v>
      </c>
      <c r="Z208" s="2217"/>
      <c r="AA208" s="2217"/>
      <c r="AB208" s="2217"/>
      <c r="AC208" s="2218" t="s">
        <v>2087</v>
      </c>
      <c r="AD208" s="2218"/>
      <c r="AE208" s="2218"/>
      <c r="AF208" s="2218"/>
      <c r="AG208" s="2210"/>
      <c r="AH208" s="2211"/>
      <c r="AI208" s="2211"/>
      <c r="AJ208" s="2211"/>
      <c r="AK208" s="2212"/>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3">
        <v>6</v>
      </c>
      <c r="D209" s="2214"/>
      <c r="E209" s="2214"/>
      <c r="F209" s="2214"/>
      <c r="G209" s="2215" t="s">
        <v>2087</v>
      </c>
      <c r="H209" s="2215"/>
      <c r="I209" s="2215"/>
      <c r="J209" s="2215"/>
      <c r="K209" s="2215"/>
      <c r="L209" s="2215"/>
      <c r="M209" s="2215"/>
      <c r="N209" s="2215"/>
      <c r="O209" s="2215"/>
      <c r="P209" s="2216"/>
      <c r="Q209" s="2216"/>
      <c r="R209" s="2216"/>
      <c r="S209" s="2216"/>
      <c r="T209" s="2216"/>
      <c r="U209" s="2217"/>
      <c r="V209" s="2217"/>
      <c r="W209" s="2217"/>
      <c r="X209" s="2217"/>
      <c r="Y209" s="2217"/>
      <c r="Z209" s="2217"/>
      <c r="AA209" s="2217"/>
      <c r="AB209" s="2217"/>
      <c r="AC209" s="2218" t="s">
        <v>2087</v>
      </c>
      <c r="AD209" s="2218"/>
      <c r="AE209" s="2218"/>
      <c r="AF209" s="2218"/>
      <c r="AG209" s="2210"/>
      <c r="AH209" s="2211"/>
      <c r="AI209" s="2211"/>
      <c r="AJ209" s="2211"/>
      <c r="AK209" s="2212"/>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3">
        <v>7</v>
      </c>
      <c r="D210" s="2214"/>
      <c r="E210" s="2214"/>
      <c r="F210" s="2214"/>
      <c r="G210" s="2215"/>
      <c r="H210" s="2215"/>
      <c r="I210" s="2215"/>
      <c r="J210" s="2215"/>
      <c r="K210" s="2215"/>
      <c r="L210" s="2215"/>
      <c r="M210" s="2215"/>
      <c r="N210" s="2215"/>
      <c r="O210" s="2215"/>
      <c r="P210" s="2216"/>
      <c r="Q210" s="2216"/>
      <c r="R210" s="2216"/>
      <c r="S210" s="2216"/>
      <c r="T210" s="2216"/>
      <c r="U210" s="2217"/>
      <c r="V210" s="2217"/>
      <c r="W210" s="2217"/>
      <c r="X210" s="2217"/>
      <c r="Y210" s="2217"/>
      <c r="Z210" s="2217"/>
      <c r="AA210" s="2217"/>
      <c r="AB210" s="2217"/>
      <c r="AC210" s="2218" t="s">
        <v>2087</v>
      </c>
      <c r="AD210" s="2218"/>
      <c r="AE210" s="2218"/>
      <c r="AF210" s="2218"/>
      <c r="AG210" s="2210"/>
      <c r="AH210" s="2211"/>
      <c r="AI210" s="2211"/>
      <c r="AJ210" s="2211"/>
      <c r="AK210" s="2212"/>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2" t="s">
        <v>2088</v>
      </c>
      <c r="D211" s="2233"/>
      <c r="E211" s="2233"/>
      <c r="F211" s="2233"/>
      <c r="G211" s="2233"/>
      <c r="H211" s="2233"/>
      <c r="I211" s="2233"/>
      <c r="J211" s="2233"/>
      <c r="K211" s="2233"/>
      <c r="L211" s="2233"/>
      <c r="M211" s="2233"/>
      <c r="N211" s="2233"/>
      <c r="O211" s="2233"/>
      <c r="P211" s="2234"/>
      <c r="Q211" s="2234"/>
      <c r="R211" s="2234"/>
      <c r="S211" s="2234"/>
      <c r="T211" s="2234"/>
      <c r="U211" s="2235">
        <f>-SUM(U204:U210)</f>
        <v>0</v>
      </c>
      <c r="V211" s="2235"/>
      <c r="W211" s="2235"/>
      <c r="X211" s="2235"/>
      <c r="Y211" s="2235">
        <f>-SUM(Y204:Y210)</f>
        <v>0</v>
      </c>
      <c r="Z211" s="2235"/>
      <c r="AA211" s="2235"/>
      <c r="AB211" s="2235"/>
      <c r="AC211" s="2236">
        <f>-SUM(AC204:AC210)</f>
        <v>0</v>
      </c>
      <c r="AD211" s="2236"/>
      <c r="AE211" s="2236"/>
      <c r="AF211" s="2236"/>
      <c r="AG211" s="2237"/>
      <c r="AH211" s="2238"/>
      <c r="AI211" s="2238"/>
      <c r="AJ211" s="2238"/>
      <c r="AK211" s="2239"/>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2089</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0" t="s">
        <v>2090</v>
      </c>
      <c r="C216" s="2221"/>
      <c r="D216" s="2221"/>
      <c r="E216" s="2221"/>
      <c r="F216" s="2221"/>
      <c r="G216" s="2221"/>
      <c r="H216" s="2221"/>
      <c r="I216" s="2221"/>
      <c r="J216" s="2221"/>
      <c r="K216" s="2221"/>
      <c r="L216" s="2221"/>
      <c r="M216" s="2221"/>
      <c r="N216" s="2221"/>
      <c r="O216" s="2221"/>
      <c r="P216" s="2221"/>
      <c r="Q216" s="2221"/>
      <c r="R216" s="2221"/>
      <c r="S216" s="2221"/>
      <c r="T216" s="2221"/>
      <c r="U216" s="2221"/>
      <c r="V216" s="2221"/>
      <c r="W216" s="2221"/>
      <c r="X216" s="2221"/>
      <c r="Y216" s="2221"/>
      <c r="Z216" s="2221"/>
      <c r="AA216" s="2221"/>
      <c r="AB216" s="2221"/>
      <c r="AC216" s="2221"/>
      <c r="AD216" s="2221"/>
      <c r="AE216" s="2221"/>
      <c r="AF216" s="2221"/>
      <c r="AG216" s="2221"/>
      <c r="AH216" s="2221"/>
      <c r="AI216" s="2221"/>
      <c r="AJ216" s="2221"/>
      <c r="AK216" s="2221"/>
      <c r="AL216" s="2221"/>
      <c r="AM216" s="2221"/>
      <c r="AN216" s="2221"/>
      <c r="AO216" s="2221"/>
      <c r="AP216" s="2221"/>
      <c r="AQ216" s="2221"/>
      <c r="AR216" s="2221"/>
      <c r="AS216" s="2221"/>
      <c r="AT216" s="2221"/>
      <c r="AU216" s="2221"/>
      <c r="AV216" s="2221"/>
      <c r="AW216" s="2221"/>
      <c r="AX216" s="2221"/>
      <c r="AY216" s="2221"/>
      <c r="AZ216" s="2221"/>
      <c r="BA216" s="2221"/>
      <c r="BB216" s="2221"/>
      <c r="BC216" s="2221"/>
      <c r="BD216" s="2222"/>
      <c r="BE216" s="1101"/>
    </row>
    <row r="217" spans="1:57" ht="15.75" customHeight="1">
      <c r="A217" s="1097"/>
      <c r="B217" s="2223"/>
      <c r="C217" s="2224"/>
      <c r="D217" s="2224"/>
      <c r="E217" s="2224"/>
      <c r="F217" s="2224"/>
      <c r="G217" s="2224"/>
      <c r="H217" s="2224"/>
      <c r="I217" s="2224"/>
      <c r="J217" s="2224"/>
      <c r="K217" s="2224"/>
      <c r="L217" s="2224"/>
      <c r="M217" s="2224"/>
      <c r="N217" s="2224"/>
      <c r="O217" s="2224"/>
      <c r="P217" s="2224"/>
      <c r="Q217" s="2224"/>
      <c r="R217" s="2224"/>
      <c r="S217" s="2224"/>
      <c r="T217" s="2224"/>
      <c r="U217" s="2224"/>
      <c r="V217" s="2224"/>
      <c r="W217" s="2224"/>
      <c r="X217" s="2224"/>
      <c r="Y217" s="2224"/>
      <c r="Z217" s="2224"/>
      <c r="AA217" s="2224"/>
      <c r="AB217" s="2224"/>
      <c r="AC217" s="2224"/>
      <c r="AD217" s="2224"/>
      <c r="AE217" s="2224"/>
      <c r="AF217" s="2224"/>
      <c r="AG217" s="2224"/>
      <c r="AH217" s="2224"/>
      <c r="AI217" s="2224"/>
      <c r="AJ217" s="2224"/>
      <c r="AK217" s="2224"/>
      <c r="AL217" s="2224"/>
      <c r="AM217" s="2224"/>
      <c r="AN217" s="2224"/>
      <c r="AO217" s="2224"/>
      <c r="AP217" s="2224"/>
      <c r="AQ217" s="2224"/>
      <c r="AR217" s="2224"/>
      <c r="AS217" s="2224"/>
      <c r="AT217" s="2224"/>
      <c r="AU217" s="2224"/>
      <c r="AV217" s="2224"/>
      <c r="AW217" s="2224"/>
      <c r="AX217" s="2224"/>
      <c r="AY217" s="2224"/>
      <c r="AZ217" s="2224"/>
      <c r="BA217" s="2224"/>
      <c r="BB217" s="2224"/>
      <c r="BC217" s="2224"/>
      <c r="BD217" s="2225"/>
      <c r="BE217" s="1101"/>
    </row>
    <row r="218" spans="1:57" ht="15.75" customHeight="1">
      <c r="A218" s="1097"/>
      <c r="B218" s="2226" t="s">
        <v>2091</v>
      </c>
      <c r="C218" s="2227"/>
      <c r="D218" s="2227"/>
      <c r="E218" s="2227"/>
      <c r="F218" s="2227"/>
      <c r="G218" s="2227"/>
      <c r="H218" s="2227"/>
      <c r="I218" s="2227"/>
      <c r="J218" s="2227"/>
      <c r="K218" s="2227"/>
      <c r="L218" s="2227"/>
      <c r="M218" s="2227"/>
      <c r="N218" s="2227"/>
      <c r="O218" s="2227"/>
      <c r="P218" s="2227"/>
      <c r="Q218" s="2227"/>
      <c r="R218" s="2227"/>
      <c r="S218" s="2227"/>
      <c r="T218" s="2227"/>
      <c r="U218" s="2227"/>
      <c r="V218" s="2227"/>
      <c r="W218" s="2227"/>
      <c r="X218" s="2227"/>
      <c r="Y218" s="2227"/>
      <c r="Z218" s="2227"/>
      <c r="AA218" s="2227"/>
      <c r="AB218" s="2227"/>
      <c r="AC218" s="2227"/>
      <c r="AD218" s="2227"/>
      <c r="AE218" s="2227"/>
      <c r="AF218" s="2227"/>
      <c r="AG218" s="2227"/>
      <c r="AH218" s="2227"/>
      <c r="AI218" s="2227"/>
      <c r="AJ218" s="2227"/>
      <c r="AK218" s="2227"/>
      <c r="AL218" s="2227"/>
      <c r="AM218" s="2227"/>
      <c r="AN218" s="2227"/>
      <c r="AO218" s="2227"/>
      <c r="AP218" s="2227"/>
      <c r="AQ218" s="2227"/>
      <c r="AR218" s="2227"/>
      <c r="AS218" s="2227"/>
      <c r="AT218" s="2227"/>
      <c r="AU218" s="2227"/>
      <c r="AV218" s="2227"/>
      <c r="AW218" s="2227"/>
      <c r="AX218" s="2227"/>
      <c r="AY218" s="2227"/>
      <c r="AZ218" s="2227"/>
      <c r="BA218" s="2227"/>
      <c r="BB218" s="2227"/>
      <c r="BC218" s="2227"/>
      <c r="BD218" s="2228"/>
      <c r="BE218" s="1101"/>
    </row>
    <row r="219" spans="1:57" ht="15.75" customHeight="1">
      <c r="A219" s="1097"/>
      <c r="B219" s="2226" t="s">
        <v>2092</v>
      </c>
      <c r="C219" s="2227"/>
      <c r="D219" s="2227"/>
      <c r="E219" s="2227"/>
      <c r="F219" s="2227"/>
      <c r="G219" s="2227"/>
      <c r="H219" s="2227"/>
      <c r="I219" s="2227"/>
      <c r="J219" s="2227"/>
      <c r="K219" s="2227"/>
      <c r="L219" s="2227"/>
      <c r="M219" s="2227"/>
      <c r="N219" s="2227"/>
      <c r="O219" s="2227"/>
      <c r="P219" s="2227"/>
      <c r="Q219" s="2227"/>
      <c r="R219" s="2227"/>
      <c r="S219" s="2227"/>
      <c r="T219" s="2227"/>
      <c r="U219" s="2227"/>
      <c r="V219" s="2227"/>
      <c r="W219" s="2227"/>
      <c r="X219" s="2227"/>
      <c r="Y219" s="2227"/>
      <c r="Z219" s="2227"/>
      <c r="AA219" s="2227"/>
      <c r="AB219" s="2227"/>
      <c r="AC219" s="2227"/>
      <c r="AD219" s="2227"/>
      <c r="AE219" s="2227"/>
      <c r="AF219" s="2227"/>
      <c r="AG219" s="2227"/>
      <c r="AH219" s="2227"/>
      <c r="AI219" s="2227"/>
      <c r="AJ219" s="2227"/>
      <c r="AK219" s="2227"/>
      <c r="AL219" s="2227"/>
      <c r="AM219" s="2227"/>
      <c r="AN219" s="2227"/>
      <c r="AO219" s="2227"/>
      <c r="AP219" s="2227"/>
      <c r="AQ219" s="2227"/>
      <c r="AR219" s="2227"/>
      <c r="AS219" s="2227"/>
      <c r="AT219" s="2227"/>
      <c r="AU219" s="2227"/>
      <c r="AV219" s="2227"/>
      <c r="AW219" s="2227"/>
      <c r="AX219" s="2227"/>
      <c r="AY219" s="2227"/>
      <c r="AZ219" s="2227"/>
      <c r="BA219" s="2227"/>
      <c r="BB219" s="2227"/>
      <c r="BC219" s="2227"/>
      <c r="BD219" s="2228"/>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29" t="s">
        <v>2093</v>
      </c>
      <c r="C221" s="2119"/>
      <c r="D221" s="2119"/>
      <c r="E221" s="2119"/>
      <c r="F221" s="2119"/>
      <c r="G221" s="2119"/>
      <c r="H221" s="2119"/>
      <c r="I221" s="2119"/>
      <c r="J221" s="2119"/>
      <c r="K221" s="2119"/>
      <c r="L221" s="2119"/>
      <c r="M221" s="2119"/>
      <c r="N221" s="2119"/>
      <c r="O221" s="2119"/>
      <c r="P221" s="2119"/>
      <c r="Q221" s="2119"/>
      <c r="R221" s="2119"/>
      <c r="S221" s="2119"/>
      <c r="T221" s="2119"/>
      <c r="U221" s="2119"/>
      <c r="V221" s="2119"/>
      <c r="W221" s="2119"/>
      <c r="X221" s="2119"/>
      <c r="Y221" s="2119"/>
      <c r="Z221" s="2119"/>
      <c r="AA221" s="2119"/>
      <c r="AB221" s="2119"/>
      <c r="AC221" s="2119"/>
      <c r="AD221" s="2119"/>
      <c r="AE221" s="2119"/>
      <c r="AF221" s="2119"/>
      <c r="AG221" s="2119"/>
      <c r="AH221" s="2119"/>
      <c r="AI221" s="2119"/>
      <c r="AJ221" s="2119"/>
      <c r="AK221" s="2119"/>
      <c r="AL221" s="2119"/>
      <c r="AM221" s="2119"/>
      <c r="AN221" s="2119"/>
      <c r="AO221" s="2119"/>
      <c r="AP221" s="2119"/>
      <c r="AQ221" s="2119"/>
      <c r="AR221" s="2119"/>
      <c r="AS221" s="2119"/>
      <c r="AT221" s="2119"/>
      <c r="AU221" s="2119"/>
      <c r="AV221" s="2119"/>
      <c r="AW221" s="2119"/>
      <c r="AX221" s="2119"/>
      <c r="AY221" s="2119"/>
      <c r="AZ221" s="2119"/>
      <c r="BA221" s="2119"/>
      <c r="BB221" s="2119"/>
      <c r="BC221" s="2119"/>
      <c r="BD221" s="2230"/>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2094</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1" t="s">
        <v>2095</v>
      </c>
      <c r="I225" s="2231"/>
      <c r="J225" s="2231"/>
      <c r="K225" s="2231"/>
      <c r="L225" s="2231"/>
      <c r="M225" s="2231"/>
      <c r="N225" s="2231"/>
      <c r="O225" s="2231"/>
      <c r="P225" s="2231"/>
      <c r="Q225" s="2231"/>
      <c r="R225" s="2231"/>
      <c r="S225" s="2231"/>
      <c r="T225" s="2231"/>
      <c r="U225" s="2231"/>
      <c r="V225" s="2231"/>
      <c r="W225" s="2231"/>
      <c r="X225" s="2231"/>
      <c r="Y225" s="2231"/>
      <c r="Z225" s="2231"/>
      <c r="AA225" s="2231"/>
      <c r="AB225" s="2231"/>
      <c r="AC225" s="2231"/>
      <c r="AD225" s="2231"/>
      <c r="AE225" s="2231"/>
      <c r="AF225" s="2231"/>
      <c r="AG225" s="2231"/>
      <c r="AH225" s="2231"/>
      <c r="AI225" s="2231"/>
      <c r="AJ225" s="2231"/>
      <c r="AK225" s="2231"/>
      <c r="AL225" s="2231"/>
      <c r="AM225" s="2231"/>
      <c r="AN225" s="2231"/>
      <c r="AO225" s="2231"/>
      <c r="AP225" s="2231"/>
      <c r="AQ225" s="2231"/>
      <c r="AR225" s="2231"/>
      <c r="AS225" s="2231"/>
      <c r="AT225" s="2231"/>
      <c r="AU225" s="2231"/>
      <c r="AV225" s="2231"/>
      <c r="AW225" s="2231"/>
      <c r="AX225" s="2231"/>
      <c r="AY225" s="2231"/>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49" t="s">
        <v>2096</v>
      </c>
      <c r="I227" s="2249"/>
      <c r="J227" s="2249"/>
      <c r="K227" s="2249"/>
      <c r="L227" s="2249"/>
      <c r="M227" s="2249"/>
      <c r="N227" s="2249"/>
      <c r="O227" s="2249"/>
      <c r="P227" s="2249"/>
      <c r="Q227" s="2249"/>
      <c r="R227" s="2249"/>
      <c r="S227" s="2249"/>
      <c r="T227" s="2249"/>
      <c r="U227" s="2249"/>
      <c r="V227" s="2249"/>
      <c r="W227" s="2249"/>
      <c r="X227" s="2249"/>
      <c r="Y227" s="2249"/>
      <c r="Z227" s="2249"/>
      <c r="AA227" s="2249"/>
      <c r="AB227" s="2249"/>
      <c r="AC227" s="2249"/>
      <c r="AD227" s="2249"/>
      <c r="AE227" s="2249"/>
      <c r="AF227" s="2249"/>
      <c r="AG227" s="2249"/>
      <c r="AH227" s="2249"/>
      <c r="AI227" s="2249"/>
      <c r="AJ227" s="2249"/>
      <c r="AK227" s="2249"/>
      <c r="AL227" s="2249"/>
      <c r="AM227" s="2249"/>
      <c r="AN227" s="2249"/>
      <c r="AO227" s="2249"/>
      <c r="AP227" s="2249"/>
      <c r="AQ227" s="2249"/>
      <c r="AR227" s="2249"/>
      <c r="AS227" s="2249"/>
      <c r="AT227" s="2249"/>
      <c r="AU227" s="2249"/>
      <c r="AV227" s="2249"/>
      <c r="AW227" s="2249"/>
      <c r="AX227" s="2249"/>
      <c r="AY227" s="2249"/>
      <c r="AZ227" s="2249"/>
      <c r="BA227" s="1097"/>
      <c r="BB227" s="1097"/>
      <c r="BC227" s="1097"/>
      <c r="BD227" s="1101"/>
      <c r="BE227" s="1101"/>
    </row>
    <row r="228" spans="1:57" ht="15.75" customHeight="1">
      <c r="A228" s="1097"/>
      <c r="B228" s="1096"/>
      <c r="C228" s="1097"/>
      <c r="D228" s="1097"/>
      <c r="E228" s="1097"/>
      <c r="F228" s="1097"/>
      <c r="G228" s="1097"/>
      <c r="H228" s="2249"/>
      <c r="I228" s="2249"/>
      <c r="J228" s="2249"/>
      <c r="K228" s="2249"/>
      <c r="L228" s="2249"/>
      <c r="M228" s="2249"/>
      <c r="N228" s="2249"/>
      <c r="O228" s="2249"/>
      <c r="P228" s="2249"/>
      <c r="Q228" s="2249"/>
      <c r="R228" s="2249"/>
      <c r="S228" s="2249"/>
      <c r="T228" s="2249"/>
      <c r="U228" s="2249"/>
      <c r="V228" s="2249"/>
      <c r="W228" s="2249"/>
      <c r="X228" s="2249"/>
      <c r="Y228" s="2249"/>
      <c r="Z228" s="2249"/>
      <c r="AA228" s="2249"/>
      <c r="AB228" s="2249"/>
      <c r="AC228" s="2249"/>
      <c r="AD228" s="2249"/>
      <c r="AE228" s="2249"/>
      <c r="AF228" s="2249"/>
      <c r="AG228" s="2249"/>
      <c r="AH228" s="2249"/>
      <c r="AI228" s="2249"/>
      <c r="AJ228" s="2249"/>
      <c r="AK228" s="2249"/>
      <c r="AL228" s="2249"/>
      <c r="AM228" s="2249"/>
      <c r="AN228" s="2249"/>
      <c r="AO228" s="2249"/>
      <c r="AP228" s="2249"/>
      <c r="AQ228" s="2249"/>
      <c r="AR228" s="2249"/>
      <c r="AS228" s="2249"/>
      <c r="AT228" s="2249"/>
      <c r="AU228" s="2249"/>
      <c r="AV228" s="2249"/>
      <c r="AW228" s="2249"/>
      <c r="AX228" s="2249"/>
      <c r="AY228" s="2249"/>
      <c r="AZ228" s="2249"/>
      <c r="BA228" s="1097"/>
      <c r="BB228" s="1097"/>
      <c r="BC228" s="1097"/>
      <c r="BD228" s="1101"/>
      <c r="BE228" s="1101"/>
    </row>
    <row r="229" spans="1:57" ht="15.75" customHeight="1">
      <c r="A229" s="1097"/>
      <c r="B229" s="1096"/>
      <c r="C229" s="1097"/>
      <c r="D229" s="1097"/>
      <c r="E229" s="1097"/>
      <c r="F229" s="1097"/>
      <c r="G229" s="1097"/>
      <c r="H229" s="2249"/>
      <c r="I229" s="2249"/>
      <c r="J229" s="2249"/>
      <c r="K229" s="2249"/>
      <c r="L229" s="2249"/>
      <c r="M229" s="2249"/>
      <c r="N229" s="2249"/>
      <c r="O229" s="2249"/>
      <c r="P229" s="2249"/>
      <c r="Q229" s="2249"/>
      <c r="R229" s="2249"/>
      <c r="S229" s="2249"/>
      <c r="T229" s="2249"/>
      <c r="U229" s="2249"/>
      <c r="V229" s="2249"/>
      <c r="W229" s="2249"/>
      <c r="X229" s="2249"/>
      <c r="Y229" s="2249"/>
      <c r="Z229" s="2249"/>
      <c r="AA229" s="2249"/>
      <c r="AB229" s="2249"/>
      <c r="AC229" s="2249"/>
      <c r="AD229" s="2249"/>
      <c r="AE229" s="2249"/>
      <c r="AF229" s="2249"/>
      <c r="AG229" s="2249"/>
      <c r="AH229" s="2249"/>
      <c r="AI229" s="2249"/>
      <c r="AJ229" s="2249"/>
      <c r="AK229" s="2249"/>
      <c r="AL229" s="2249"/>
      <c r="AM229" s="2249"/>
      <c r="AN229" s="2249"/>
      <c r="AO229" s="2249"/>
      <c r="AP229" s="2249"/>
      <c r="AQ229" s="2249"/>
      <c r="AR229" s="2249"/>
      <c r="AS229" s="2249"/>
      <c r="AT229" s="2249"/>
      <c r="AU229" s="2249"/>
      <c r="AV229" s="2249"/>
      <c r="AW229" s="2249"/>
      <c r="AX229" s="2249"/>
      <c r="AY229" s="2249"/>
      <c r="AZ229" s="2249"/>
      <c r="BA229" s="1097"/>
      <c r="BB229" s="1097"/>
      <c r="BC229" s="1097"/>
      <c r="BD229" s="1101"/>
      <c r="BE229" s="1101"/>
    </row>
    <row r="230" spans="1:57" ht="15.75" customHeight="1">
      <c r="A230" s="1097"/>
      <c r="B230" s="1096"/>
      <c r="C230" s="1097"/>
      <c r="D230" s="1097"/>
      <c r="E230" s="1097"/>
      <c r="F230" s="1097"/>
      <c r="G230" s="1097"/>
      <c r="H230" s="2249"/>
      <c r="I230" s="2249"/>
      <c r="J230" s="2249"/>
      <c r="K230" s="2249"/>
      <c r="L230" s="2249"/>
      <c r="M230" s="2249"/>
      <c r="N230" s="2249"/>
      <c r="O230" s="2249"/>
      <c r="P230" s="2249"/>
      <c r="Q230" s="2249"/>
      <c r="R230" s="2249"/>
      <c r="S230" s="2249"/>
      <c r="T230" s="2249"/>
      <c r="U230" s="2249"/>
      <c r="V230" s="2249"/>
      <c r="W230" s="2249"/>
      <c r="X230" s="2249"/>
      <c r="Y230" s="2249"/>
      <c r="Z230" s="2249"/>
      <c r="AA230" s="2249"/>
      <c r="AB230" s="2249"/>
      <c r="AC230" s="2249"/>
      <c r="AD230" s="2249"/>
      <c r="AE230" s="2249"/>
      <c r="AF230" s="2249"/>
      <c r="AG230" s="2249"/>
      <c r="AH230" s="2249"/>
      <c r="AI230" s="2249"/>
      <c r="AJ230" s="2249"/>
      <c r="AK230" s="2249"/>
      <c r="AL230" s="2249"/>
      <c r="AM230" s="2249"/>
      <c r="AN230" s="2249"/>
      <c r="AO230" s="2249"/>
      <c r="AP230" s="2249"/>
      <c r="AQ230" s="2249"/>
      <c r="AR230" s="2249"/>
      <c r="AS230" s="2249"/>
      <c r="AT230" s="2249"/>
      <c r="AU230" s="2249"/>
      <c r="AV230" s="2249"/>
      <c r="AW230" s="2249"/>
      <c r="AX230" s="2249"/>
      <c r="AY230" s="2249"/>
      <c r="AZ230" s="2249"/>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0" t="s">
        <v>2097</v>
      </c>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2250"/>
      <c r="AD232" s="2250"/>
      <c r="AE232" s="2250"/>
      <c r="AF232" s="2250"/>
      <c r="AG232" s="2250"/>
      <c r="AH232" s="2250"/>
      <c r="AI232" s="2250"/>
      <c r="AJ232" s="2250"/>
      <c r="AK232" s="2250"/>
      <c r="AL232" s="2250"/>
      <c r="AM232" s="2250"/>
      <c r="AN232" s="2250"/>
      <c r="AO232" s="2250"/>
      <c r="AP232" s="2250"/>
      <c r="AQ232" s="2250"/>
      <c r="AR232" s="2250"/>
      <c r="AS232" s="2250"/>
      <c r="AT232" s="2250"/>
      <c r="AU232" s="2250"/>
      <c r="AV232" s="2250"/>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0" t="s">
        <v>2098</v>
      </c>
      <c r="I234" s="2240"/>
      <c r="J234" s="2240"/>
      <c r="K234" s="2240"/>
      <c r="L234" s="1145"/>
      <c r="M234" s="1145"/>
      <c r="N234" s="1145"/>
      <c r="O234" s="1145"/>
      <c r="P234" s="1145"/>
      <c r="Q234" s="1145"/>
      <c r="R234" s="1145"/>
      <c r="S234" s="2251"/>
      <c r="T234" s="2252"/>
      <c r="U234" s="2252"/>
      <c r="V234" s="2252"/>
      <c r="W234" s="2252"/>
      <c r="X234" s="2252"/>
      <c r="Y234" s="2252"/>
      <c r="Z234" s="2252"/>
      <c r="AA234" s="2252"/>
      <c r="AB234" s="2252"/>
      <c r="AC234" s="2252"/>
      <c r="AD234" s="2252"/>
      <c r="AE234" s="2252"/>
      <c r="AF234" s="2252"/>
      <c r="AG234" s="2252"/>
      <c r="AH234" s="2252"/>
      <c r="AI234" s="2252"/>
      <c r="AJ234" s="2253"/>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0" t="s">
        <v>2003</v>
      </c>
      <c r="I236" s="2240"/>
      <c r="J236" s="2240"/>
      <c r="K236" s="1147"/>
      <c r="L236" s="1145"/>
      <c r="M236" s="1145"/>
      <c r="N236" s="1145"/>
      <c r="O236" s="1145"/>
      <c r="P236" s="1145"/>
      <c r="Q236" s="1145"/>
      <c r="R236" s="1145"/>
      <c r="S236" s="2241"/>
      <c r="T236" s="2242"/>
      <c r="U236" s="2242"/>
      <c r="V236" s="2242"/>
      <c r="W236" s="2242"/>
      <c r="X236" s="2242"/>
      <c r="Y236" s="2242"/>
      <c r="Z236" s="2242"/>
      <c r="AA236" s="2242"/>
      <c r="AB236" s="2242"/>
      <c r="AC236" s="2242"/>
      <c r="AD236" s="2242"/>
      <c r="AE236" s="2242"/>
      <c r="AF236" s="2242"/>
      <c r="AG236" s="2242"/>
      <c r="AH236" s="2242"/>
      <c r="AI236" s="2242"/>
      <c r="AJ236" s="2243"/>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0" t="s">
        <v>825</v>
      </c>
      <c r="I238" s="2240"/>
      <c r="J238" s="1147"/>
      <c r="K238" s="1147"/>
      <c r="L238" s="1145"/>
      <c r="M238" s="1145"/>
      <c r="N238" s="1145"/>
      <c r="O238" s="1145"/>
      <c r="P238" s="1145"/>
      <c r="Q238" s="1145"/>
      <c r="R238" s="1145"/>
      <c r="S238" s="2241"/>
      <c r="T238" s="2242"/>
      <c r="U238" s="2242"/>
      <c r="V238" s="2242"/>
      <c r="W238" s="2242"/>
      <c r="X238" s="2242"/>
      <c r="Y238" s="2242"/>
      <c r="Z238" s="2242"/>
      <c r="AA238" s="2242"/>
      <c r="AB238" s="2242"/>
      <c r="AC238" s="2242"/>
      <c r="AD238" s="2242"/>
      <c r="AE238" s="2242"/>
      <c r="AF238" s="2242"/>
      <c r="AG238" s="2242"/>
      <c r="AH238" s="2242"/>
      <c r="AI238" s="2242"/>
      <c r="AJ238" s="2243"/>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4" t="s">
        <v>2099</v>
      </c>
      <c r="I240" s="2244"/>
      <c r="J240" s="2244"/>
      <c r="K240" s="2244"/>
      <c r="L240" s="2244"/>
      <c r="M240" s="2244"/>
      <c r="N240" s="2244"/>
      <c r="O240" s="2244"/>
      <c r="P240" s="1145"/>
      <c r="Q240" s="1145"/>
      <c r="R240" s="1145"/>
      <c r="S240" s="2241"/>
      <c r="T240" s="2242"/>
      <c r="U240" s="2242"/>
      <c r="V240" s="2242"/>
      <c r="W240" s="2242"/>
      <c r="X240" s="2242"/>
      <c r="Y240" s="2242"/>
      <c r="Z240" s="2242"/>
      <c r="AA240" s="2242"/>
      <c r="AB240" s="2242"/>
      <c r="AC240" s="2242"/>
      <c r="AD240" s="2242"/>
      <c r="AE240" s="2242"/>
      <c r="AF240" s="2242"/>
      <c r="AG240" s="2242"/>
      <c r="AH240" s="2242"/>
      <c r="AI240" s="2242"/>
      <c r="AJ240" s="2243"/>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5" t="s">
        <v>2100</v>
      </c>
      <c r="I242" s="2245"/>
      <c r="J242" s="1145"/>
      <c r="K242" s="1145"/>
      <c r="L242" s="1145"/>
      <c r="M242" s="1145"/>
      <c r="N242" s="1145"/>
      <c r="O242" s="1145"/>
      <c r="P242" s="1145"/>
      <c r="Q242" s="1145"/>
      <c r="R242" s="1145"/>
      <c r="S242" s="2246"/>
      <c r="T242" s="2247"/>
      <c r="U242" s="2247"/>
      <c r="V242" s="2247"/>
      <c r="W242" s="2247"/>
      <c r="X242" s="2247"/>
      <c r="Y242" s="2247"/>
      <c r="Z242" s="2247"/>
      <c r="AA242" s="2247"/>
      <c r="AB242" s="2247"/>
      <c r="AC242" s="2247"/>
      <c r="AD242" s="2247"/>
      <c r="AE242" s="2247"/>
      <c r="AF242" s="2247"/>
      <c r="AG242" s="2247"/>
      <c r="AH242" s="2247"/>
      <c r="AI242" s="2247"/>
      <c r="AJ242" s="2248"/>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1" t="s">
        <v>2101</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2.95" customHeight="1"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887</v>
      </c>
      <c r="C5" s="307" t="s">
        <v>270</v>
      </c>
      <c r="F5" s="307"/>
    </row>
    <row r="6" spans="1:40" ht="12.95" customHeight="1">
      <c r="A6" s="307"/>
      <c r="C6" s="305" t="s">
        <v>2102</v>
      </c>
    </row>
    <row r="7" spans="1:40" ht="12.95" customHeight="1">
      <c r="B7" s="308"/>
      <c r="C7" s="309"/>
      <c r="D7" s="309"/>
      <c r="E7" s="309"/>
      <c r="F7" s="309"/>
      <c r="G7" s="309"/>
      <c r="H7" s="309"/>
      <c r="I7" s="309"/>
      <c r="J7" s="309"/>
      <c r="K7" s="309"/>
      <c r="L7" s="309"/>
      <c r="M7" s="309"/>
      <c r="N7" s="309"/>
      <c r="O7" s="309"/>
      <c r="P7" s="309"/>
      <c r="Q7" s="309"/>
      <c r="R7" s="309"/>
      <c r="S7" s="309"/>
      <c r="T7" s="2281" t="str">
        <f xml:space="preserve"> IF(T25=100%,'Sources and Basis Breakdown'!G2,'Sources and Basis Breakdown'!F2)</f>
        <v>30% PVC for New Const/
Rehabilitation
DDA/QCT
Building(s)</v>
      </c>
      <c r="U7" s="2281"/>
      <c r="V7" s="2281"/>
      <c r="W7" s="2281"/>
      <c r="X7" s="2281"/>
      <c r="Y7" s="2281" t="str">
        <f>IF(T25=100%,"",'Sources and Basis Breakdown'!G2)</f>
        <v>30% PVC for New Const/
Rehabilitation
NON-DDA/
NON-QCT Building(s)</v>
      </c>
      <c r="Z7" s="2281"/>
      <c r="AA7" s="2281"/>
      <c r="AB7" s="2281"/>
      <c r="AC7" s="2281"/>
      <c r="AD7" s="2281" t="str">
        <f xml:space="preserve"> IF(T25=100%, 'Sources and Basis Breakdown'!J2,'Sources and Basis Breakdown'!I2)</f>
        <v>30% PVC for Acquisition
DDA/QCT Building(s)</v>
      </c>
      <c r="AE7" s="2281"/>
      <c r="AF7" s="2281"/>
      <c r="AG7" s="2281"/>
      <c r="AH7" s="2281"/>
      <c r="AI7" s="2281" t="str">
        <f>IF(T25=100%,"",'Sources and Basis Breakdown'!J2)</f>
        <v>30% PVC for Acquisition
NON-DDA/
NON-QCT Building(s)</v>
      </c>
      <c r="AJ7" s="2281"/>
      <c r="AK7" s="2281"/>
      <c r="AL7" s="2281"/>
      <c r="AM7" s="2281"/>
    </row>
    <row r="8" spans="1:40" ht="12.95" customHeight="1">
      <c r="B8" s="310"/>
      <c r="T8" s="2281"/>
      <c r="U8" s="2281"/>
      <c r="V8" s="2281"/>
      <c r="W8" s="2281"/>
      <c r="X8" s="2281"/>
      <c r="Y8" s="2281"/>
      <c r="Z8" s="2281"/>
      <c r="AA8" s="2281"/>
      <c r="AB8" s="2281"/>
      <c r="AC8" s="2281"/>
      <c r="AD8" s="2281"/>
      <c r="AE8" s="2281"/>
      <c r="AF8" s="2281"/>
      <c r="AG8" s="2281"/>
      <c r="AH8" s="2281"/>
      <c r="AI8" s="2281"/>
      <c r="AJ8" s="2281"/>
      <c r="AK8" s="2281"/>
      <c r="AL8" s="2281"/>
      <c r="AM8" s="2281"/>
    </row>
    <row r="9" spans="1:40" ht="12.95" customHeight="1">
      <c r="B9" s="310"/>
      <c r="T9" s="2281"/>
      <c r="U9" s="2281"/>
      <c r="V9" s="2281"/>
      <c r="W9" s="2281"/>
      <c r="X9" s="2281"/>
      <c r="Y9" s="2281"/>
      <c r="Z9" s="2281"/>
      <c r="AA9" s="2281"/>
      <c r="AB9" s="2281"/>
      <c r="AC9" s="2281"/>
      <c r="AD9" s="2281"/>
      <c r="AE9" s="2281"/>
      <c r="AF9" s="2281"/>
      <c r="AG9" s="2281"/>
      <c r="AH9" s="2281"/>
      <c r="AI9" s="2281"/>
      <c r="AJ9" s="2281"/>
      <c r="AK9" s="2281"/>
      <c r="AL9" s="2281"/>
      <c r="AM9" s="2281"/>
    </row>
    <row r="10" spans="1:40" ht="12.95" customHeight="1">
      <c r="B10" s="311"/>
      <c r="C10" s="312"/>
      <c r="D10" s="312"/>
      <c r="E10" s="312"/>
      <c r="F10" s="312"/>
      <c r="G10" s="312"/>
      <c r="H10" s="312"/>
      <c r="I10" s="312"/>
      <c r="J10" s="312"/>
      <c r="K10" s="312"/>
      <c r="L10" s="312"/>
      <c r="M10" s="312"/>
      <c r="N10" s="312"/>
      <c r="O10" s="312"/>
      <c r="P10" s="312"/>
      <c r="Q10" s="312"/>
      <c r="R10" s="312"/>
      <c r="S10" s="312"/>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95" customHeight="1">
      <c r="B11" s="2267" t="s">
        <v>1920</v>
      </c>
      <c r="C11" s="2268"/>
      <c r="D11" s="2268"/>
      <c r="E11" s="2268"/>
      <c r="F11" s="2268"/>
      <c r="G11" s="2268"/>
      <c r="H11" s="2268"/>
      <c r="I11" s="2268"/>
      <c r="J11" s="2268"/>
      <c r="K11" s="2268"/>
      <c r="L11" s="2268"/>
      <c r="M11" s="2268"/>
      <c r="N11" s="2268"/>
      <c r="O11" s="2268"/>
      <c r="P11" s="2268"/>
      <c r="Q11" s="2268"/>
      <c r="R11" s="2268"/>
      <c r="S11" s="2269"/>
      <c r="T11" s="2303">
        <f>IF('Sources and Basis Breakdown'!F107=0,'Sources and Basis Breakdown'!E107,'Sources and Basis Breakdown'!F107)</f>
        <v>75038301</v>
      </c>
      <c r="U11" s="2304"/>
      <c r="V11" s="2304"/>
      <c r="W11" s="2304"/>
      <c r="X11" s="2304"/>
      <c r="Y11" s="2303">
        <f>IF(Y7="",0,IF('Sources and Basis Breakdown'!G107+'Sources and Basis Breakdown'!F107='Sources and Basis Breakdown'!E107,'Sources and Basis Breakdown'!G107,0))</f>
        <v>0</v>
      </c>
      <c r="Z11" s="2304"/>
      <c r="AA11" s="2304"/>
      <c r="AB11" s="2304"/>
      <c r="AC11" s="2304"/>
      <c r="AD11" s="2304">
        <f>IF('Sources and Basis Breakdown'!I107=0,'Sources and Basis Breakdown'!H107,'Sources and Basis Breakdown'!I107)</f>
        <v>0</v>
      </c>
      <c r="AE11" s="2304"/>
      <c r="AF11" s="2304"/>
      <c r="AG11" s="2304"/>
      <c r="AH11" s="2304"/>
      <c r="AI11" s="2304">
        <f>IF(Y7="",0,IF('Sources and Basis Breakdown'!I107+'Sources and Basis Breakdown'!J107='Sources and Basis Breakdown'!H107,'Sources and Basis Breakdown'!J107,0))</f>
        <v>0</v>
      </c>
      <c r="AJ11" s="2304"/>
      <c r="AK11" s="2304"/>
      <c r="AL11" s="2304"/>
      <c r="AM11" s="2304"/>
    </row>
    <row r="12" spans="1:40" ht="12.95" customHeight="1">
      <c r="B12" s="2305" t="s">
        <v>2103</v>
      </c>
      <c r="C12" s="1764"/>
      <c r="D12" s="1764"/>
      <c r="E12" s="1764"/>
      <c r="F12" s="1764"/>
      <c r="G12" s="1764"/>
      <c r="H12" s="1764"/>
      <c r="I12" s="1764"/>
      <c r="J12" s="1764"/>
      <c r="K12" s="1764"/>
      <c r="L12" s="1764"/>
      <c r="M12" s="1764"/>
      <c r="N12" s="1764"/>
      <c r="O12" s="1764"/>
      <c r="P12" s="1764"/>
      <c r="Q12" s="1764"/>
      <c r="R12" s="1764"/>
      <c r="S12" s="2306"/>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5" customHeight="1">
      <c r="B13" s="338"/>
      <c r="C13" s="2307" t="s">
        <v>2104</v>
      </c>
      <c r="D13" s="2307"/>
      <c r="E13" s="2307"/>
      <c r="F13" s="2307"/>
      <c r="G13" s="2307"/>
      <c r="H13" s="2307"/>
      <c r="I13" s="2307"/>
      <c r="J13" s="2307"/>
      <c r="K13" s="2307"/>
      <c r="L13" s="2307"/>
      <c r="M13" s="2307"/>
      <c r="N13" s="2307"/>
      <c r="O13" s="2307"/>
      <c r="P13" s="2307"/>
      <c r="Q13" s="2307"/>
      <c r="R13" s="2307"/>
      <c r="S13" s="2308"/>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2.95" customHeight="1">
      <c r="B14" s="338"/>
      <c r="C14" s="2307" t="s">
        <v>2105</v>
      </c>
      <c r="D14" s="2307"/>
      <c r="E14" s="2307"/>
      <c r="F14" s="2307"/>
      <c r="G14" s="2307"/>
      <c r="H14" s="2307"/>
      <c r="I14" s="2307"/>
      <c r="J14" s="2307"/>
      <c r="K14" s="2307"/>
      <c r="L14" s="2307"/>
      <c r="M14" s="2307"/>
      <c r="N14" s="2307"/>
      <c r="O14" s="2307"/>
      <c r="P14" s="2307"/>
      <c r="Q14" s="2307"/>
      <c r="R14" s="2307"/>
      <c r="S14" s="2308"/>
      <c r="T14" s="2289"/>
      <c r="U14" s="2290"/>
      <c r="V14" s="2290"/>
      <c r="W14" s="2290"/>
      <c r="X14" s="2290"/>
      <c r="Y14" s="2289"/>
      <c r="Z14" s="2290"/>
      <c r="AA14" s="2290"/>
      <c r="AB14" s="2290"/>
      <c r="AC14" s="2290"/>
      <c r="AD14" s="2290"/>
      <c r="AE14" s="2290"/>
      <c r="AF14" s="2290"/>
      <c r="AG14" s="2290"/>
      <c r="AH14" s="2290"/>
      <c r="AI14" s="2290"/>
      <c r="AJ14" s="2290"/>
      <c r="AK14" s="2290"/>
      <c r="AL14" s="2290"/>
      <c r="AM14" s="2290"/>
    </row>
    <row r="15" spans="1:40" ht="12.95" customHeight="1">
      <c r="B15" s="338"/>
      <c r="C15" s="2307" t="s">
        <v>2106</v>
      </c>
      <c r="D15" s="2307"/>
      <c r="E15" s="2307"/>
      <c r="F15" s="2307"/>
      <c r="G15" s="2307"/>
      <c r="H15" s="2307"/>
      <c r="I15" s="2307"/>
      <c r="J15" s="2307"/>
      <c r="K15" s="2307"/>
      <c r="L15" s="2307"/>
      <c r="M15" s="2307"/>
      <c r="N15" s="2307"/>
      <c r="O15" s="2307"/>
      <c r="P15" s="2307"/>
      <c r="Q15" s="2307"/>
      <c r="R15" s="2307"/>
      <c r="S15" s="2308"/>
      <c r="T15" s="2289"/>
      <c r="U15" s="2290"/>
      <c r="V15" s="2290"/>
      <c r="W15" s="2290"/>
      <c r="X15" s="2290"/>
      <c r="Y15" s="2289"/>
      <c r="Z15" s="2290"/>
      <c r="AA15" s="2290"/>
      <c r="AB15" s="2290"/>
      <c r="AC15" s="2290"/>
      <c r="AD15" s="2290"/>
      <c r="AE15" s="2290"/>
      <c r="AF15" s="2290"/>
      <c r="AG15" s="2290"/>
      <c r="AH15" s="2290"/>
      <c r="AI15" s="2290"/>
      <c r="AJ15" s="2290"/>
      <c r="AK15" s="2290"/>
      <c r="AL15" s="2290"/>
      <c r="AM15" s="2290"/>
    </row>
    <row r="16" spans="1:40" ht="12.95" customHeight="1">
      <c r="B16" s="338"/>
      <c r="C16" s="2307" t="s">
        <v>2107</v>
      </c>
      <c r="D16" s="2307"/>
      <c r="E16" s="2307"/>
      <c r="F16" s="2307"/>
      <c r="G16" s="2307"/>
      <c r="H16" s="2307"/>
      <c r="I16" s="2307"/>
      <c r="J16" s="2307"/>
      <c r="K16" s="2307"/>
      <c r="L16" s="2307"/>
      <c r="M16" s="2307"/>
      <c r="N16" s="2307"/>
      <c r="O16" s="2307"/>
      <c r="P16" s="2307"/>
      <c r="Q16" s="2307"/>
      <c r="R16" s="2307"/>
      <c r="S16" s="2308"/>
      <c r="T16" s="2289"/>
      <c r="U16" s="2290"/>
      <c r="V16" s="2290"/>
      <c r="W16" s="2290"/>
      <c r="X16" s="2290"/>
      <c r="Y16" s="2289"/>
      <c r="Z16" s="2290"/>
      <c r="AA16" s="2290"/>
      <c r="AB16" s="2290"/>
      <c r="AC16" s="2290"/>
      <c r="AD16" s="2290"/>
      <c r="AE16" s="2290"/>
      <c r="AF16" s="2290"/>
      <c r="AG16" s="2290"/>
      <c r="AH16" s="2290"/>
      <c r="AI16" s="2290"/>
      <c r="AJ16" s="2290"/>
      <c r="AK16" s="2290"/>
      <c r="AL16" s="2290"/>
      <c r="AM16" s="2290"/>
    </row>
    <row r="17" spans="1:40" ht="12.95" customHeight="1">
      <c r="B17" s="338"/>
      <c r="C17" s="2307" t="s">
        <v>2108</v>
      </c>
      <c r="D17" s="2307"/>
      <c r="E17" s="2307"/>
      <c r="F17" s="2307"/>
      <c r="G17" s="2307"/>
      <c r="H17" s="2307"/>
      <c r="I17" s="2307"/>
      <c r="J17" s="2307"/>
      <c r="K17" s="2307"/>
      <c r="L17" s="2307"/>
      <c r="M17" s="2307"/>
      <c r="N17" s="2307"/>
      <c r="O17" s="2307"/>
      <c r="P17" s="2307"/>
      <c r="Q17" s="2307"/>
      <c r="R17" s="2307"/>
      <c r="S17" s="2308"/>
      <c r="T17" s="2289"/>
      <c r="U17" s="2290"/>
      <c r="V17" s="2290"/>
      <c r="W17" s="2290"/>
      <c r="X17" s="2290"/>
      <c r="Y17" s="2289"/>
      <c r="Z17" s="2290"/>
      <c r="AA17" s="2290"/>
      <c r="AB17" s="2290"/>
      <c r="AC17" s="2290"/>
      <c r="AD17" s="2290"/>
      <c r="AE17" s="2290"/>
      <c r="AF17" s="2290"/>
      <c r="AG17" s="2290"/>
      <c r="AH17" s="2290"/>
      <c r="AI17" s="2290"/>
      <c r="AJ17" s="2290"/>
      <c r="AK17" s="2290"/>
      <c r="AL17" s="2290"/>
      <c r="AM17" s="2290"/>
    </row>
    <row r="18" spans="1:40" ht="12.95" customHeight="1">
      <c r="A18"/>
      <c r="B18" s="1033"/>
      <c r="C18" s="1470" t="s">
        <v>2109</v>
      </c>
      <c r="D18" s="1470"/>
      <c r="E18" s="1470"/>
      <c r="F18" s="1470"/>
      <c r="G18" s="1470"/>
      <c r="H18" s="1470"/>
      <c r="I18" s="1470"/>
      <c r="J18" s="1470"/>
      <c r="K18" s="1470"/>
      <c r="L18" s="1470"/>
      <c r="M18" s="1470"/>
      <c r="N18" s="1470"/>
      <c r="O18" s="1470"/>
      <c r="P18" s="1470"/>
      <c r="Q18" s="1470"/>
      <c r="R18" s="1470"/>
      <c r="S18" s="1471"/>
      <c r="T18" s="2289"/>
      <c r="U18" s="2290"/>
      <c r="V18" s="2290"/>
      <c r="W18" s="2290"/>
      <c r="X18" s="2290"/>
      <c r="Y18" s="2289"/>
      <c r="Z18" s="2290"/>
      <c r="AA18" s="2290"/>
      <c r="AB18" s="2290"/>
      <c r="AC18" s="2290"/>
      <c r="AD18" s="2290"/>
      <c r="AE18" s="2290"/>
      <c r="AF18" s="2290"/>
      <c r="AG18" s="2290"/>
      <c r="AH18" s="2290"/>
      <c r="AI18" s="2290"/>
      <c r="AJ18" s="2290"/>
      <c r="AK18" s="2290"/>
      <c r="AL18" s="2290"/>
      <c r="AM18" s="2290"/>
    </row>
    <row r="19" spans="1:40" ht="12.95" customHeight="1">
      <c r="B19" s="1033"/>
      <c r="C19" s="1470" t="s">
        <v>2109</v>
      </c>
      <c r="D19" s="1470"/>
      <c r="E19" s="1470"/>
      <c r="F19" s="1470"/>
      <c r="G19" s="1470"/>
      <c r="H19" s="1470"/>
      <c r="I19" s="1470"/>
      <c r="J19" s="1470"/>
      <c r="K19" s="1470"/>
      <c r="L19" s="1470"/>
      <c r="M19" s="1470"/>
      <c r="N19" s="1470"/>
      <c r="O19" s="1470"/>
      <c r="P19" s="1470"/>
      <c r="Q19" s="1470"/>
      <c r="R19" s="1470"/>
      <c r="S19" s="1471"/>
      <c r="T19" s="2289"/>
      <c r="U19" s="2290"/>
      <c r="V19" s="2290"/>
      <c r="W19" s="2290"/>
      <c r="X19" s="2290"/>
      <c r="Y19" s="2289"/>
      <c r="Z19" s="2290"/>
      <c r="AA19" s="2290"/>
      <c r="AB19" s="2290"/>
      <c r="AC19" s="2290"/>
      <c r="AD19" s="2290"/>
      <c r="AE19" s="2290"/>
      <c r="AF19" s="2290"/>
      <c r="AG19" s="2290"/>
      <c r="AH19" s="2290"/>
      <c r="AI19" s="2290"/>
      <c r="AJ19" s="2290"/>
      <c r="AK19" s="2290"/>
      <c r="AL19" s="2290"/>
      <c r="AM19" s="2290"/>
    </row>
    <row r="20" spans="1:40" ht="12.95" customHeight="1">
      <c r="B20" s="2267" t="s">
        <v>2110</v>
      </c>
      <c r="C20" s="2268"/>
      <c r="D20" s="2268"/>
      <c r="E20" s="2268"/>
      <c r="F20" s="2268"/>
      <c r="G20" s="2268"/>
      <c r="H20" s="2268"/>
      <c r="I20" s="2268"/>
      <c r="J20" s="2268"/>
      <c r="K20" s="2268"/>
      <c r="L20" s="2268"/>
      <c r="M20" s="2268"/>
      <c r="N20" s="2268"/>
      <c r="O20" s="2268"/>
      <c r="P20" s="2268"/>
      <c r="Q20" s="2268"/>
      <c r="R20" s="2268"/>
      <c r="S20" s="2269"/>
      <c r="T20" s="2280">
        <f>SUM(T13:X19)</f>
        <v>0</v>
      </c>
      <c r="U20" s="2261"/>
      <c r="V20" s="2261"/>
      <c r="W20" s="2261"/>
      <c r="X20" s="2261"/>
      <c r="Y20" s="2280">
        <f>SUM(Y13:AC19)</f>
        <v>0</v>
      </c>
      <c r="Z20" s="2261"/>
      <c r="AA20" s="2261"/>
      <c r="AB20" s="2261"/>
      <c r="AC20" s="2261"/>
      <c r="AD20" s="2271">
        <f>SUM(AD13:AH19)</f>
        <v>0</v>
      </c>
      <c r="AE20" s="2279"/>
      <c r="AF20" s="2279"/>
      <c r="AG20" s="2279"/>
      <c r="AH20" s="2280"/>
      <c r="AI20" s="2271">
        <f>SUM(AI13:AM19)</f>
        <v>0</v>
      </c>
      <c r="AJ20" s="2279"/>
      <c r="AK20" s="2279"/>
      <c r="AL20" s="2279"/>
      <c r="AM20" s="2280"/>
    </row>
    <row r="21" spans="1:40" ht="12.95" customHeight="1">
      <c r="B21" s="2267" t="s">
        <v>2111</v>
      </c>
      <c r="C21" s="2268"/>
      <c r="D21" s="2268"/>
      <c r="E21" s="2268"/>
      <c r="F21" s="2268"/>
      <c r="G21" s="2268"/>
      <c r="H21" s="2268"/>
      <c r="I21" s="2268"/>
      <c r="J21" s="2268"/>
      <c r="K21" s="2268"/>
      <c r="L21" s="2268"/>
      <c r="M21" s="2268"/>
      <c r="N21" s="2268"/>
      <c r="O21" s="2268"/>
      <c r="P21" s="2268"/>
      <c r="Q21" s="2268"/>
      <c r="R21" s="2268"/>
      <c r="S21" s="2269"/>
      <c r="T21" s="2289"/>
      <c r="U21" s="2290"/>
      <c r="V21" s="2290"/>
      <c r="W21" s="2290"/>
      <c r="X21" s="2290"/>
      <c r="Y21" s="2289"/>
      <c r="Z21" s="2290"/>
      <c r="AA21" s="2290"/>
      <c r="AB21" s="2290"/>
      <c r="AC21" s="2290"/>
      <c r="AD21" s="2296"/>
      <c r="AE21" s="2297"/>
      <c r="AF21" s="2297"/>
      <c r="AG21" s="2297"/>
      <c r="AH21" s="2298"/>
      <c r="AI21" s="2296"/>
      <c r="AJ21" s="2297"/>
      <c r="AK21" s="2297"/>
      <c r="AL21" s="2297"/>
      <c r="AM21" s="2298"/>
    </row>
    <row r="22" spans="1:40" ht="12.95" customHeight="1">
      <c r="B22" s="2267" t="s">
        <v>2112</v>
      </c>
      <c r="C22" s="2268"/>
      <c r="D22" s="2268"/>
      <c r="E22" s="2268"/>
      <c r="F22" s="2268"/>
      <c r="G22" s="2268"/>
      <c r="H22" s="2268"/>
      <c r="I22" s="2268"/>
      <c r="J22" s="2268"/>
      <c r="K22" s="2268"/>
      <c r="L22" s="2268"/>
      <c r="M22" s="2268"/>
      <c r="N22" s="2268"/>
      <c r="O22" s="2268"/>
      <c r="P22" s="2268"/>
      <c r="Q22" s="2268"/>
      <c r="R22" s="2268"/>
      <c r="S22" s="2269"/>
      <c r="T22" s="2285">
        <f>(ABS(T20)+ABS(T21))*-1</f>
        <v>0</v>
      </c>
      <c r="U22" s="2286"/>
      <c r="V22" s="2286"/>
      <c r="W22" s="2286"/>
      <c r="X22" s="2286"/>
      <c r="Y22" s="2285">
        <f>(Y20+Y21)*-1</f>
        <v>0</v>
      </c>
      <c r="Z22" s="2286"/>
      <c r="AA22" s="2286"/>
      <c r="AB22" s="2286"/>
      <c r="AC22" s="2286"/>
      <c r="AD22" s="2287">
        <f>(AD20)*-1</f>
        <v>0</v>
      </c>
      <c r="AE22" s="2288"/>
      <c r="AF22" s="2288"/>
      <c r="AG22" s="2288"/>
      <c r="AH22" s="2285"/>
      <c r="AI22" s="2287">
        <f>(AI20)*-1</f>
        <v>0</v>
      </c>
      <c r="AJ22" s="2288"/>
      <c r="AK22" s="2288"/>
      <c r="AL22" s="2288"/>
      <c r="AM22" s="2285"/>
    </row>
    <row r="23" spans="1:40" ht="12.95" customHeight="1">
      <c r="B23" s="2267" t="s">
        <v>2113</v>
      </c>
      <c r="C23" s="2268"/>
      <c r="D23" s="2268"/>
      <c r="E23" s="2268"/>
      <c r="F23" s="2268"/>
      <c r="G23" s="2268"/>
      <c r="H23" s="2268"/>
      <c r="I23" s="2268"/>
      <c r="J23" s="2268"/>
      <c r="K23" s="2268"/>
      <c r="L23" s="2268"/>
      <c r="M23" s="2268"/>
      <c r="N23" s="2268"/>
      <c r="O23" s="2268"/>
      <c r="P23" s="2268"/>
      <c r="Q23" s="2268"/>
      <c r="R23" s="2268"/>
      <c r="S23" s="2269"/>
      <c r="T23" s="2280">
        <f>T11+T22</f>
        <v>75038301</v>
      </c>
      <c r="U23" s="2261"/>
      <c r="V23" s="2261"/>
      <c r="W23" s="2261"/>
      <c r="X23" s="2261"/>
      <c r="Y23" s="2280">
        <f>Y11+Y22</f>
        <v>0</v>
      </c>
      <c r="Z23" s="2261"/>
      <c r="AA23" s="2261"/>
      <c r="AB23" s="2261"/>
      <c r="AC23" s="2261"/>
      <c r="AD23" s="2280">
        <f>AD11+AD22</f>
        <v>0</v>
      </c>
      <c r="AE23" s="2261"/>
      <c r="AF23" s="2261"/>
      <c r="AG23" s="2261"/>
      <c r="AH23" s="2261"/>
      <c r="AI23" s="2280">
        <f>AI11+AI22</f>
        <v>0</v>
      </c>
      <c r="AJ23" s="2261"/>
      <c r="AK23" s="2261"/>
      <c r="AL23" s="2261"/>
      <c r="AM23" s="2261"/>
    </row>
    <row r="24" spans="1:40" ht="12.95" customHeight="1">
      <c r="B24" s="2267" t="s">
        <v>2114</v>
      </c>
      <c r="C24" s="2268"/>
      <c r="D24" s="2268"/>
      <c r="E24" s="2268"/>
      <c r="F24" s="2268"/>
      <c r="G24" s="2268"/>
      <c r="H24" s="2268"/>
      <c r="I24" s="2268"/>
      <c r="J24" s="2268"/>
      <c r="K24" s="2268"/>
      <c r="L24" s="2268"/>
      <c r="M24" s="2268"/>
      <c r="N24" s="2268"/>
      <c r="O24" s="2268"/>
      <c r="P24" s="2268"/>
      <c r="Q24" s="2268"/>
      <c r="R24" s="2268"/>
      <c r="S24" s="2269"/>
      <c r="T24" s="2271">
        <f>Application!AJ1062</f>
        <v>165780233.27999997</v>
      </c>
      <c r="U24" s="2279"/>
      <c r="V24" s="2279"/>
      <c r="W24" s="2279"/>
      <c r="X24" s="2279"/>
      <c r="Y24" s="2279"/>
      <c r="Z24" s="2279"/>
      <c r="AA24" s="2279"/>
      <c r="AB24" s="2279"/>
      <c r="AC24" s="2279"/>
      <c r="AD24" s="2279"/>
      <c r="AE24" s="2279"/>
      <c r="AF24" s="2279"/>
      <c r="AG24" s="2279"/>
      <c r="AH24" s="2279"/>
      <c r="AI24" s="2279"/>
      <c r="AJ24" s="2279"/>
      <c r="AK24" s="2279"/>
      <c r="AL24" s="2279"/>
      <c r="AM24" s="2280"/>
    </row>
    <row r="25" spans="1:40" ht="12.95" customHeight="1">
      <c r="B25" s="2311" t="s">
        <v>2115</v>
      </c>
      <c r="C25" s="2312"/>
      <c r="D25" s="2312"/>
      <c r="E25" s="2312"/>
      <c r="F25" s="2312"/>
      <c r="G25" s="2312"/>
      <c r="H25" s="2312"/>
      <c r="I25" s="2312"/>
      <c r="J25" s="2312"/>
      <c r="K25" s="2312"/>
      <c r="L25" s="2312"/>
      <c r="M25" s="2312"/>
      <c r="N25" s="2312"/>
      <c r="O25" s="2312"/>
      <c r="P25" s="2312"/>
      <c r="Q25" s="2312"/>
      <c r="R25" s="2312"/>
      <c r="S25" s="2313"/>
      <c r="T25" s="2293">
        <f>IF(OR(Application!T196="yes",Application!T195="yes"),1.3,1)</f>
        <v>1.3</v>
      </c>
      <c r="U25" s="2294"/>
      <c r="V25" s="2294"/>
      <c r="W25" s="2294"/>
      <c r="X25" s="2294"/>
      <c r="Y25" s="2293">
        <v>1</v>
      </c>
      <c r="Z25" s="2294"/>
      <c r="AA25" s="2294"/>
      <c r="AB25" s="2294"/>
      <c r="AC25" s="2294"/>
      <c r="AD25" s="2293">
        <v>1</v>
      </c>
      <c r="AE25" s="2294"/>
      <c r="AF25" s="2294"/>
      <c r="AG25" s="2294"/>
      <c r="AH25" s="2295"/>
      <c r="AI25" s="2293">
        <v>1</v>
      </c>
      <c r="AJ25" s="2294"/>
      <c r="AK25" s="2294"/>
      <c r="AL25" s="2294"/>
      <c r="AM25" s="2295"/>
    </row>
    <row r="26" spans="1:40" ht="12.95" customHeight="1">
      <c r="B26" s="2267" t="s">
        <v>2116</v>
      </c>
      <c r="C26" s="2268"/>
      <c r="D26" s="2268"/>
      <c r="E26" s="2268"/>
      <c r="F26" s="2268"/>
      <c r="G26" s="2268"/>
      <c r="H26" s="2268"/>
      <c r="I26" s="2268"/>
      <c r="J26" s="2268"/>
      <c r="K26" s="2268"/>
      <c r="L26" s="2268"/>
      <c r="M26" s="2268"/>
      <c r="N26" s="2268"/>
      <c r="O26" s="2268"/>
      <c r="P26" s="2268"/>
      <c r="Q26" s="2268"/>
      <c r="R26" s="2268"/>
      <c r="S26" s="2269"/>
      <c r="T26" s="2280">
        <f>T23*T25</f>
        <v>97549791.299999997</v>
      </c>
      <c r="U26" s="2261"/>
      <c r="V26" s="2261"/>
      <c r="W26" s="2261"/>
      <c r="X26" s="2261"/>
      <c r="Y26" s="2280">
        <f>Y23*Y25</f>
        <v>0</v>
      </c>
      <c r="Z26" s="2261"/>
      <c r="AA26" s="2261"/>
      <c r="AB26" s="2261"/>
      <c r="AC26" s="2261"/>
      <c r="AD26" s="2280">
        <f>AD23*AD25</f>
        <v>0</v>
      </c>
      <c r="AE26" s="2261"/>
      <c r="AF26" s="2261"/>
      <c r="AG26" s="2261"/>
      <c r="AH26" s="2261"/>
      <c r="AI26" s="2280">
        <f>AI23*AI25</f>
        <v>0</v>
      </c>
      <c r="AJ26" s="2261"/>
      <c r="AK26" s="2261"/>
      <c r="AL26" s="2261"/>
      <c r="AM26" s="2261"/>
    </row>
    <row r="27" spans="1:40" ht="12.95" customHeight="1">
      <c r="A27" s="313"/>
      <c r="B27" s="2314" t="s">
        <v>2117</v>
      </c>
      <c r="C27" s="2315"/>
      <c r="D27" s="2315"/>
      <c r="E27" s="2315"/>
      <c r="F27" s="2315"/>
      <c r="G27" s="2315"/>
      <c r="H27" s="2315"/>
      <c r="I27" s="2315"/>
      <c r="J27" s="2315"/>
      <c r="K27" s="2315"/>
      <c r="L27" s="2315"/>
      <c r="M27" s="2315"/>
      <c r="N27" s="2315"/>
      <c r="O27" s="2315"/>
      <c r="P27" s="2315"/>
      <c r="Q27" s="2315"/>
      <c r="R27" s="2315"/>
      <c r="S27" s="2316"/>
      <c r="T27" s="2291">
        <f>Application!$AG$454</f>
        <v>1</v>
      </c>
      <c r="U27" s="2292"/>
      <c r="V27" s="2292"/>
      <c r="W27" s="2292"/>
      <c r="X27" s="2292"/>
      <c r="Y27" s="2291">
        <f>Application!$AG$454</f>
        <v>1</v>
      </c>
      <c r="Z27" s="2292"/>
      <c r="AA27" s="2292"/>
      <c r="AB27" s="2292"/>
      <c r="AC27" s="2292"/>
      <c r="AD27" s="2291">
        <f>Application!$AG$454</f>
        <v>1</v>
      </c>
      <c r="AE27" s="2292"/>
      <c r="AF27" s="2292"/>
      <c r="AG27" s="2292"/>
      <c r="AH27" s="2292"/>
      <c r="AI27" s="2291">
        <f>Application!$AG$454</f>
        <v>1</v>
      </c>
      <c r="AJ27" s="2292"/>
      <c r="AK27" s="2292"/>
      <c r="AL27" s="2292"/>
      <c r="AM27" s="2292"/>
    </row>
    <row r="28" spans="1:40" ht="12.95" customHeight="1">
      <c r="A28" s="307"/>
      <c r="B28" s="2267" t="s">
        <v>2118</v>
      </c>
      <c r="C28" s="2268"/>
      <c r="D28" s="2268"/>
      <c r="E28" s="2268"/>
      <c r="F28" s="2268"/>
      <c r="G28" s="2268"/>
      <c r="H28" s="2268"/>
      <c r="I28" s="2268"/>
      <c r="J28" s="2268"/>
      <c r="K28" s="2268"/>
      <c r="L28" s="2268"/>
      <c r="M28" s="2268"/>
      <c r="N28" s="2268"/>
      <c r="O28" s="2268"/>
      <c r="P28" s="2268"/>
      <c r="Q28" s="2268"/>
      <c r="R28" s="2268"/>
      <c r="S28" s="2269"/>
      <c r="T28" s="2280">
        <f>IF(ISERROR((T26*T27)),0,(T26*T27))</f>
        <v>97549791.299999997</v>
      </c>
      <c r="U28" s="2261"/>
      <c r="V28" s="2261"/>
      <c r="W28" s="2261"/>
      <c r="X28" s="2261"/>
      <c r="Y28" s="2280">
        <f>IF(ISERROR((Y26*Y27)),0,(Y26*Y27))</f>
        <v>0</v>
      </c>
      <c r="Z28" s="2261"/>
      <c r="AA28" s="2261"/>
      <c r="AB28" s="2261"/>
      <c r="AC28" s="2261"/>
      <c r="AD28" s="2280">
        <f>IF(ISERROR((AD26*AD27)),0,(AD26*AD27))</f>
        <v>0</v>
      </c>
      <c r="AE28" s="2261"/>
      <c r="AF28" s="2261"/>
      <c r="AG28" s="2261"/>
      <c r="AH28" s="2261"/>
      <c r="AI28" s="2280">
        <f>IF(ISERROR((AI26*AI27)),0,(AI26*AI27))</f>
        <v>0</v>
      </c>
      <c r="AJ28" s="2261"/>
      <c r="AK28" s="2261"/>
      <c r="AL28" s="2261"/>
      <c r="AM28" s="2261"/>
    </row>
    <row r="29" spans="1:40" ht="12.95" customHeight="1">
      <c r="B29" s="2267" t="s">
        <v>2119</v>
      </c>
      <c r="C29" s="2268"/>
      <c r="D29" s="2268"/>
      <c r="E29" s="2268"/>
      <c r="F29" s="2268"/>
      <c r="G29" s="2268"/>
      <c r="H29" s="2268"/>
      <c r="I29" s="2268"/>
      <c r="J29" s="2268"/>
      <c r="K29" s="2268"/>
      <c r="L29" s="2268"/>
      <c r="M29" s="2268"/>
      <c r="N29" s="2268"/>
      <c r="O29" s="2268"/>
      <c r="P29" s="2268"/>
      <c r="Q29" s="2268"/>
      <c r="R29" s="2268"/>
      <c r="S29" s="2269"/>
      <c r="T29" s="2271">
        <f>T28+Y28+AD28+AI28</f>
        <v>97549791.299999997</v>
      </c>
      <c r="U29" s="2279"/>
      <c r="V29" s="2279"/>
      <c r="W29" s="2279"/>
      <c r="X29" s="2279"/>
      <c r="Y29" s="2279"/>
      <c r="Z29" s="2279"/>
      <c r="AA29" s="2279"/>
      <c r="AB29" s="2279"/>
      <c r="AC29" s="2279"/>
      <c r="AD29" s="2279"/>
      <c r="AE29" s="2279"/>
      <c r="AF29" s="2279"/>
      <c r="AG29" s="2279"/>
      <c r="AH29" s="2279"/>
      <c r="AI29" s="2279"/>
      <c r="AJ29" s="2279"/>
      <c r="AK29" s="2279"/>
      <c r="AL29" s="2279"/>
      <c r="AM29" s="2280"/>
    </row>
    <row r="30" spans="1:40" ht="12.95" customHeight="1">
      <c r="B30" s="2284" t="s">
        <v>2120</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40" ht="12.95" customHeight="1">
      <c r="B31" s="2284" t="s">
        <v>2121</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c r="AN31" s="418"/>
    </row>
    <row r="32" spans="1:40" ht="12.95" customHeight="1">
      <c r="B32" s="337"/>
      <c r="C32" s="411" t="s">
        <v>2122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928</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1" t="s">
        <v>2123</v>
      </c>
      <c r="Z35" s="2281"/>
      <c r="AA35" s="2281"/>
      <c r="AB35" s="2281"/>
      <c r="AC35" s="2281"/>
      <c r="AD35" s="2282" t="s">
        <v>2124</v>
      </c>
      <c r="AE35" s="2282"/>
      <c r="AF35" s="2282"/>
      <c r="AG35" s="2282"/>
      <c r="AH35" s="2282"/>
    </row>
    <row r="36" spans="1:76" ht="12.95" customHeight="1">
      <c r="B36" s="310"/>
      <c r="X36" s="315"/>
      <c r="Y36" s="2281"/>
      <c r="Z36" s="2281"/>
      <c r="AA36" s="2281"/>
      <c r="AB36" s="2281"/>
      <c r="AC36" s="2281"/>
      <c r="AD36" s="2282"/>
      <c r="AE36" s="2282"/>
      <c r="AF36" s="2282"/>
      <c r="AG36" s="2282"/>
      <c r="AH36" s="2282"/>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1"/>
      <c r="Z37" s="2281"/>
      <c r="AA37" s="2281"/>
      <c r="AB37" s="2281"/>
      <c r="AC37" s="2281"/>
      <c r="AD37" s="2282"/>
      <c r="AE37" s="2282"/>
      <c r="AF37" s="2282"/>
      <c r="AG37" s="2282"/>
      <c r="AH37" s="2282"/>
    </row>
    <row r="38" spans="1:76" ht="12.95" customHeight="1">
      <c r="A38" s="307"/>
      <c r="B38" s="2267" t="s">
        <v>2118</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97549791.299999997</v>
      </c>
      <c r="Z38" s="2261"/>
      <c r="AA38" s="2261"/>
      <c r="AB38" s="2261"/>
      <c r="AC38" s="2261"/>
      <c r="AD38" s="2261">
        <f>IF(T24&gt;=(T23+Y23+AD23+AI23),AD28+AI28,0)</f>
        <v>0</v>
      </c>
      <c r="AE38" s="2261"/>
      <c r="AF38" s="2261"/>
      <c r="AG38" s="2261"/>
      <c r="AH38" s="2261"/>
    </row>
    <row r="39" spans="1:76" ht="12.95" customHeight="1">
      <c r="B39" s="2267" t="s">
        <v>2125</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83">
        <v>0.04</v>
      </c>
      <c r="Z39" s="2283"/>
      <c r="AA39" s="2283"/>
      <c r="AB39" s="2283"/>
      <c r="AC39" s="2283"/>
      <c r="AD39" s="2283">
        <v>0.04</v>
      </c>
      <c r="AE39" s="2283"/>
      <c r="AF39" s="2283"/>
      <c r="AG39" s="2283"/>
      <c r="AH39" s="2283"/>
    </row>
    <row r="40" spans="1:76" ht="12.95" customHeight="1">
      <c r="A40" s="307"/>
      <c r="B40" s="2267" t="s">
        <v>2126</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3901992</v>
      </c>
      <c r="Z40" s="2261"/>
      <c r="AA40" s="2261"/>
      <c r="AB40" s="2261"/>
      <c r="AC40" s="2261"/>
      <c r="AD40" s="2280">
        <f>ROUND(AD38*AD39,0)</f>
        <v>0</v>
      </c>
      <c r="AE40" s="2261"/>
      <c r="AF40" s="2261"/>
      <c r="AG40" s="2261"/>
      <c r="AH40" s="2261"/>
    </row>
    <row r="41" spans="1:76" ht="12.95" customHeight="1">
      <c r="B41" s="2267" t="s">
        <v>2127</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71">
        <f>Y40+AD40</f>
        <v>3901992</v>
      </c>
      <c r="Z41" s="2279"/>
      <c r="AA41" s="2279"/>
      <c r="AB41" s="2279"/>
      <c r="AC41" s="2279"/>
      <c r="AD41" s="2279"/>
      <c r="AE41" s="2279"/>
      <c r="AF41" s="2279"/>
      <c r="AG41" s="2279"/>
      <c r="AH41" s="2280"/>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8" t="s">
        <v>2128</v>
      </c>
      <c r="B44" s="2278"/>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row>
    <row r="45" spans="1:76" s="136" customFormat="1" ht="12.95" customHeight="1" thickTop="1"/>
    <row r="46" spans="1:76" ht="12.95" customHeight="1">
      <c r="A46" s="307" t="s">
        <v>1007</v>
      </c>
      <c r="C46" s="307" t="s">
        <v>282</v>
      </c>
    </row>
    <row r="47" spans="1:76" ht="12.95" customHeight="1">
      <c r="D47" s="307" t="s">
        <v>684</v>
      </c>
      <c r="AB47" s="2275">
        <f>'Sources and Uses Budget'!B105-MAX(IF('Sources and Uses Budget'!B15="",0,'Sources and Uses Budget'!B15),IF(Application!AG403="",0,Application!AG403))</f>
        <v>82176624</v>
      </c>
      <c r="AC47" s="2276"/>
      <c r="AD47" s="2276"/>
      <c r="AE47" s="2276"/>
      <c r="AF47" s="2277"/>
    </row>
    <row r="48" spans="1:76" ht="12.95" customHeight="1">
      <c r="D48" s="307" t="s">
        <v>175</v>
      </c>
      <c r="AB48" s="2275">
        <f>Application!AO647-MAX(IF('Sources and Uses Budget'!B15="",0,'Sources and Uses Budget'!B15),IF(Application!AG403="",0,Application!AG403))</f>
        <v>34700579</v>
      </c>
      <c r="AC48" s="2276"/>
      <c r="AD48" s="2276"/>
      <c r="AE48" s="2276"/>
      <c r="AF48" s="2277"/>
    </row>
    <row r="49" spans="1:76" ht="12.95" customHeight="1">
      <c r="D49" s="307" t="s">
        <v>2129</v>
      </c>
      <c r="AB49" s="2275">
        <f>AB47-AB48</f>
        <v>47476045</v>
      </c>
      <c r="AC49" s="2276"/>
      <c r="AD49" s="2276"/>
      <c r="AE49" s="2276"/>
      <c r="AF49" s="2277"/>
    </row>
    <row r="50" spans="1:76" ht="12.95" customHeight="1">
      <c r="D50" s="307" t="s">
        <v>2130</v>
      </c>
      <c r="AA50" s="318"/>
      <c r="AB50" s="2263">
        <f>('[2]4%main spreadsheet'!$BW$22-'[2]4%main spreadsheet'!$BW$95)/(3901992*10)</f>
        <v>0.81697072105157698</v>
      </c>
      <c r="AC50" s="2264"/>
      <c r="AD50" s="2264"/>
      <c r="AE50" s="2264"/>
      <c r="AF50" s="2265"/>
    </row>
    <row r="51" spans="1:76" s="320" customFormat="1" ht="12.95" customHeight="1">
      <c r="A51" s="305"/>
      <c r="B51" s="305"/>
      <c r="C51" s="305"/>
      <c r="D51" s="305"/>
      <c r="E51" s="2274" t="s">
        <v>2131</v>
      </c>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4"/>
      <c r="F52" s="2274"/>
      <c r="G52" s="2274"/>
      <c r="H52" s="2274"/>
      <c r="I52" s="2274"/>
      <c r="J52" s="2274"/>
      <c r="K52" s="2274"/>
      <c r="L52" s="2274"/>
      <c r="M52" s="2274"/>
      <c r="N52" s="2274"/>
      <c r="O52" s="2274"/>
      <c r="P52" s="2274"/>
      <c r="Q52" s="2274"/>
      <c r="R52" s="2274"/>
      <c r="S52" s="2274"/>
      <c r="T52" s="2274"/>
      <c r="U52" s="2274"/>
      <c r="V52" s="2274"/>
      <c r="W52" s="2274"/>
      <c r="X52" s="2274"/>
      <c r="Y52" s="2274"/>
      <c r="Z52" s="2274"/>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2132</v>
      </c>
      <c r="AB54" s="2275">
        <f>ROUND(IF(ISERROR((AB49/AB50)),0,(AB49/AB50)),0)</f>
        <v>58112297</v>
      </c>
      <c r="AC54" s="2276"/>
      <c r="AD54" s="2276"/>
      <c r="AE54" s="2276"/>
      <c r="AF54" s="2277"/>
    </row>
    <row r="55" spans="1:76" ht="12.95" customHeight="1">
      <c r="D55" s="307" t="s">
        <v>2133</v>
      </c>
      <c r="AB55" s="2275">
        <f>(AB54/10)</f>
        <v>5811229.7000000002</v>
      </c>
      <c r="AC55" s="2276"/>
      <c r="AD55" s="2276"/>
      <c r="AE55" s="2276"/>
      <c r="AF55" s="2277"/>
    </row>
    <row r="56" spans="1:76" ht="12.95" customHeight="1">
      <c r="D56" s="307" t="s">
        <v>2134</v>
      </c>
      <c r="AB56" s="2275">
        <f>ROUND((IF((Y41&lt;AB55),Y41,AB55)),0)</f>
        <v>3901992</v>
      </c>
      <c r="AC56" s="2276"/>
      <c r="AD56" s="2276"/>
      <c r="AE56" s="2276"/>
      <c r="AF56" s="2277"/>
    </row>
    <row r="57" spans="1:76" ht="12.95" customHeight="1">
      <c r="D57" s="307" t="s">
        <v>2135</v>
      </c>
      <c r="AB57" s="2275">
        <f>ROUND((10*AB56*AB50),0)</f>
        <v>31878132</v>
      </c>
      <c r="AC57" s="2276"/>
      <c r="AD57" s="2276"/>
      <c r="AE57" s="2276"/>
      <c r="AF57" s="2277"/>
    </row>
    <row r="58" spans="1:76" ht="12.95" customHeight="1">
      <c r="D58" s="307"/>
      <c r="AB58" s="326"/>
      <c r="AC58" s="326"/>
      <c r="AD58" s="326"/>
      <c r="AE58" s="326"/>
      <c r="AF58" s="326"/>
    </row>
    <row r="59" spans="1:76" ht="12.95" customHeight="1">
      <c r="D59" s="307" t="s">
        <v>2136</v>
      </c>
      <c r="AB59" s="2259">
        <f>AB49-AB57</f>
        <v>15597913</v>
      </c>
      <c r="AC59" s="2259"/>
      <c r="AD59" s="2259"/>
      <c r="AE59" s="2259"/>
      <c r="AF59" s="2259"/>
    </row>
    <row r="60" spans="1:76" ht="12.95" customHeight="1">
      <c r="D60" s="307"/>
      <c r="AB60" s="326"/>
      <c r="AC60" s="326"/>
      <c r="AD60" s="326"/>
      <c r="AE60" s="326"/>
      <c r="AF60" s="326"/>
    </row>
    <row r="61" spans="1:76" s="136" customFormat="1" ht="12.95" customHeight="1" thickBot="1">
      <c r="A61" s="2278" t="str">
        <f>IF(Application!AP205="yes","Farmworker State Credit", "State Credit" )</f>
        <v>State Credit</v>
      </c>
      <c r="B61" s="2278"/>
      <c r="C61" s="2278"/>
      <c r="D61" s="2278"/>
      <c r="E61" s="2278"/>
      <c r="F61" s="2278"/>
      <c r="G61" s="2278"/>
      <c r="H61" s="2278"/>
      <c r="I61" s="2278"/>
      <c r="J61" s="2278"/>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2278"/>
      <c r="BH61" s="2278"/>
      <c r="BI61" s="2278"/>
      <c r="BJ61" s="2278"/>
      <c r="BK61" s="2278"/>
      <c r="BL61" s="2278"/>
      <c r="BM61" s="2278"/>
      <c r="BN61" s="2278"/>
      <c r="BO61" s="2278"/>
      <c r="BP61" s="2278"/>
      <c r="BQ61" s="2278"/>
      <c r="BR61" s="2278"/>
      <c r="BS61" s="2278"/>
      <c r="BT61" s="2278"/>
      <c r="BU61" s="2278"/>
      <c r="BV61" s="2278"/>
      <c r="BW61" s="2278"/>
      <c r="BX61" s="2278"/>
    </row>
    <row r="62" spans="1:76" s="136" customFormat="1" ht="12.95" customHeight="1" thickTop="1"/>
    <row r="63" spans="1:76" ht="12.95" customHeight="1">
      <c r="A63" s="307" t="s">
        <v>1025</v>
      </c>
      <c r="C63" s="137" t="s">
        <v>2137</v>
      </c>
      <c r="Y63" s="2270" t="s">
        <v>2138</v>
      </c>
      <c r="Z63" s="2270"/>
      <c r="AA63" s="2270"/>
      <c r="AB63" s="2270"/>
      <c r="AC63" s="2270"/>
      <c r="AD63" s="2270" t="s">
        <v>2124</v>
      </c>
      <c r="AE63" s="2270"/>
      <c r="AF63" s="2270"/>
      <c r="AG63" s="2270"/>
      <c r="AH63" s="2270"/>
    </row>
    <row r="64" spans="1:76" ht="12.95" customHeight="1">
      <c r="C64" s="307"/>
      <c r="D64" s="280" t="s">
        <v>2139</v>
      </c>
      <c r="E64" s="323"/>
      <c r="F64" s="323"/>
      <c r="G64" s="323"/>
      <c r="H64" s="323"/>
      <c r="I64" s="323"/>
      <c r="J64" s="323"/>
      <c r="K64" s="323"/>
      <c r="L64" s="323"/>
      <c r="M64" s="323"/>
      <c r="N64" s="323"/>
      <c r="O64" s="323"/>
      <c r="P64" s="323"/>
      <c r="Q64" s="323"/>
      <c r="R64" s="323"/>
      <c r="S64" s="323"/>
      <c r="T64" s="323"/>
      <c r="U64" s="323"/>
      <c r="V64" s="323"/>
      <c r="W64" s="323"/>
      <c r="X64" s="323"/>
      <c r="Y64" s="2271">
        <f>IF(Application!$Z$205="(select)",0,((T23*T27)+Y28))</f>
        <v>75038301</v>
      </c>
      <c r="Z64" s="2272"/>
      <c r="AA64" s="2272"/>
      <c r="AB64" s="2272"/>
      <c r="AC64" s="2273"/>
      <c r="AD64" s="2271">
        <f>IF(AND(OR(Application!D211="At-Risk",Application!D211="At-Risk and Special Needs"),Application!M367="yes"),AD28+AI28,0)</f>
        <v>0</v>
      </c>
      <c r="AE64" s="2272"/>
      <c r="AF64" s="2272"/>
      <c r="AG64" s="2272"/>
      <c r="AH64" s="2273"/>
    </row>
    <row r="65" spans="1:37" ht="12.95" customHeight="1">
      <c r="C65" s="307"/>
      <c r="E65" s="904" t="s">
        <v>2140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2141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2142</v>
      </c>
      <c r="E67" s="324"/>
      <c r="F67" s="324"/>
      <c r="G67" s="324"/>
      <c r="H67" s="324"/>
      <c r="I67" s="324"/>
      <c r="J67" s="324"/>
      <c r="K67" s="324"/>
      <c r="L67" s="324"/>
      <c r="M67" s="324"/>
      <c r="N67" s="324"/>
      <c r="O67" s="324"/>
      <c r="P67" s="324"/>
      <c r="Q67" s="324"/>
      <c r="R67" s="324"/>
      <c r="S67" s="324"/>
      <c r="T67" s="324"/>
      <c r="U67" s="324"/>
      <c r="V67" s="324"/>
      <c r="W67" s="324"/>
      <c r="X67" s="324"/>
      <c r="Y67" s="2260">
        <f>IF(OR(Application!Z205="State Farmworker Credit",Application!Z205="$500M (Farmworker Housing)"),0.75,IF(Application!Z205="15% set-aside",0.13,IF(Application!Z205="15% set-aside with qualifying low value rehab",0.95,IF(Application!Z205="$500M",0.3,0))))</f>
        <v>0.3</v>
      </c>
      <c r="Z67" s="2260"/>
      <c r="AA67" s="2260"/>
      <c r="AB67" s="2260"/>
      <c r="AC67" s="2260"/>
      <c r="AD67" s="2260">
        <f>IF(Application!Z205="15% set-aside with qualifying low value rehab", 0.95,IF(OR(Application!D211="At-Risk",'Points System'!B26="Yes"),0.13,0))</f>
        <v>0</v>
      </c>
      <c r="AE67" s="2260"/>
      <c r="AF67" s="2260"/>
      <c r="AG67" s="2260"/>
      <c r="AH67" s="2260"/>
    </row>
    <row r="68" spans="1:37" ht="12.95" customHeight="1">
      <c r="C68" s="307"/>
      <c r="D68" s="137" t="s">
        <v>2143</v>
      </c>
      <c r="Y68" s="2261">
        <f>IF(AND(T25=1.3,OR(Y67=0.13,Y67=0.95),NOT(Application!T212&gt;=50%)),0,ROUND(Y64*Y67,0))</f>
        <v>22511490</v>
      </c>
      <c r="Z68" s="2262"/>
      <c r="AA68" s="2262"/>
      <c r="AB68" s="2262"/>
      <c r="AC68" s="2262"/>
      <c r="AD68" s="2261">
        <f>IF(AND(T25=1.3,AD67&gt;0,NOT(Application!T212&gt;=50%)),0,ROUND(AD64*AD67,0))</f>
        <v>0</v>
      </c>
      <c r="AE68" s="2262"/>
      <c r="AF68" s="2262"/>
      <c r="AG68" s="2262"/>
      <c r="AH68" s="2262"/>
      <c r="AK68" s="1081"/>
    </row>
    <row r="69" spans="1:37" ht="12.95" customHeight="1">
      <c r="C69" s="307"/>
      <c r="D69" s="137" t="s">
        <v>2144</v>
      </c>
      <c r="Y69" s="2261">
        <f>IF(OR(Application!Z205="State Farmworker Credit",Application!Z205="$500M (Farmworker Housing)"),Y68+AD68,MIN(Y68+AD68,200000*(Application!G761+Application!O785)))</f>
        <v>20000000</v>
      </c>
      <c r="Z69" s="2261"/>
      <c r="AA69" s="2261"/>
      <c r="AB69" s="2261"/>
      <c r="AC69" s="2261"/>
      <c r="AD69" s="2261"/>
      <c r="AE69" s="2261"/>
      <c r="AF69" s="2261"/>
      <c r="AG69" s="2261"/>
      <c r="AH69" s="2261"/>
    </row>
    <row r="70" spans="1:37" ht="12.95" customHeight="1">
      <c r="C70" s="307"/>
      <c r="E70" s="307"/>
      <c r="AB70" s="325"/>
      <c r="AC70" s="325"/>
      <c r="AD70" s="325"/>
      <c r="AE70" s="325"/>
      <c r="AF70" s="325"/>
    </row>
    <row r="71" spans="1:37" ht="12.95" customHeight="1">
      <c r="A71" s="307" t="s">
        <v>1037</v>
      </c>
      <c r="C71" s="137" t="s">
        <v>288</v>
      </c>
    </row>
    <row r="72" spans="1:37" ht="12.95" customHeight="1">
      <c r="A72" s="307"/>
      <c r="C72" s="307"/>
      <c r="D72" s="137" t="s">
        <v>738</v>
      </c>
      <c r="AB72" s="2263">
        <v>0.92</v>
      </c>
      <c r="AC72" s="2264"/>
      <c r="AD72" s="2264"/>
      <c r="AE72" s="2264"/>
      <c r="AF72" s="2265"/>
    </row>
    <row r="73" spans="1:37" ht="12.95" customHeight="1">
      <c r="A73" s="307"/>
      <c r="C73" s="307"/>
      <c r="D73" s="307"/>
      <c r="E73" s="2266" t="s">
        <v>2145</v>
      </c>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2266"/>
      <c r="AB73" s="341"/>
      <c r="AC73" s="341"/>
    </row>
    <row r="74" spans="1:37" ht="12.95" customHeight="1">
      <c r="A74" s="307"/>
      <c r="C74" s="307"/>
      <c r="D74" s="307"/>
      <c r="E74" s="2266"/>
      <c r="F74" s="2266"/>
      <c r="G74" s="2266"/>
      <c r="H74" s="2266"/>
      <c r="I74" s="2266"/>
      <c r="J74" s="2266"/>
      <c r="K74" s="2266"/>
      <c r="L74" s="2266"/>
      <c r="M74" s="2266"/>
      <c r="N74" s="2266"/>
      <c r="O74" s="2266"/>
      <c r="P74" s="2266"/>
      <c r="Q74" s="2266"/>
      <c r="R74" s="2266"/>
      <c r="S74" s="2266"/>
      <c r="T74" s="2266"/>
      <c r="U74" s="2266"/>
      <c r="V74" s="2266"/>
      <c r="W74" s="2266"/>
      <c r="X74" s="2266"/>
      <c r="Y74" s="2266"/>
      <c r="Z74" s="2266"/>
      <c r="AA74" s="2266"/>
      <c r="AB74" s="341"/>
      <c r="AC74" s="341"/>
    </row>
    <row r="75" spans="1:37" ht="12.95" customHeight="1">
      <c r="A75" s="307"/>
      <c r="C75" s="307"/>
      <c r="D75" s="307"/>
      <c r="E75" s="2266"/>
      <c r="F75" s="2266"/>
      <c r="G75" s="2266"/>
      <c r="H75" s="2266"/>
      <c r="I75" s="2266"/>
      <c r="J75" s="2266"/>
      <c r="K75" s="2266"/>
      <c r="L75" s="2266"/>
      <c r="M75" s="2266"/>
      <c r="N75" s="2266"/>
      <c r="O75" s="2266"/>
      <c r="P75" s="2266"/>
      <c r="Q75" s="2266"/>
      <c r="R75" s="2266"/>
      <c r="S75" s="2266"/>
      <c r="T75" s="2266"/>
      <c r="U75" s="2266"/>
      <c r="V75" s="2266"/>
      <c r="W75" s="2266"/>
      <c r="X75" s="2266"/>
      <c r="Y75" s="2266"/>
      <c r="Z75" s="2266"/>
      <c r="AA75" s="2266"/>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2146</v>
      </c>
      <c r="AB77" s="2254">
        <f>ROUND(IF(ISERROR((AB59/AB72)),0,(AB59/AB72)),0)</f>
        <v>16954253</v>
      </c>
      <c r="AC77" s="2254"/>
      <c r="AD77" s="2254"/>
      <c r="AE77" s="2254"/>
      <c r="AF77" s="2254"/>
    </row>
    <row r="78" spans="1:37" ht="12.95" customHeight="1">
      <c r="C78" s="307"/>
      <c r="D78" s="137" t="s">
        <v>2147</v>
      </c>
      <c r="AB78" s="2255">
        <f>ROUNDUP(MIN(Y69,AB77),0)</f>
        <v>16954253</v>
      </c>
      <c r="AC78" s="2256"/>
      <c r="AD78" s="2256"/>
      <c r="AE78" s="2256"/>
      <c r="AF78" s="2257"/>
    </row>
    <row r="79" spans="1:37" ht="12.95" customHeight="1">
      <c r="C79" s="307"/>
      <c r="D79" s="137" t="s">
        <v>2148</v>
      </c>
      <c r="AB79" s="2258">
        <f>AB78*AB72</f>
        <v>15597912.76</v>
      </c>
      <c r="AC79" s="2258"/>
      <c r="AD79" s="2258"/>
      <c r="AE79" s="2258"/>
      <c r="AF79" s="2258"/>
    </row>
    <row r="80" spans="1:37" ht="12.95" customHeight="1">
      <c r="C80" s="307"/>
      <c r="D80" s="307"/>
      <c r="AB80" s="328"/>
      <c r="AC80" s="328"/>
      <c r="AD80" s="328"/>
      <c r="AE80" s="328"/>
      <c r="AF80" s="328"/>
    </row>
    <row r="81" spans="1:78" ht="12.95" customHeight="1">
      <c r="D81" s="307" t="s">
        <v>2136</v>
      </c>
      <c r="AB81" s="2259">
        <f>AB49-(AB57+AB79)</f>
        <v>0.24000000208616257</v>
      </c>
      <c r="AC81" s="2259"/>
      <c r="AD81" s="2259"/>
      <c r="AE81" s="2259"/>
      <c r="AF81" s="2259"/>
    </row>
    <row r="82" spans="1:78" ht="12.95" customHeight="1">
      <c r="F82" s="422"/>
      <c r="J82" s="422" t="str">
        <f>IF(AB81&gt;0,"FUNDING GAP MUST NOT EXCEED ZERO","")</f>
        <v>FUNDING GAP MUST NOT EXCEED ZERO</v>
      </c>
    </row>
    <row r="83" spans="1:78" ht="12.95" customHeight="1">
      <c r="D83" s="423"/>
    </row>
    <row r="84" spans="1:78" ht="12.95" customHeight="1" thickBot="1">
      <c r="A84" s="2278"/>
      <c r="B84" s="2278"/>
      <c r="C84" s="2278"/>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row>
    <row r="85" spans="1:78" ht="12.95" customHeight="1" thickTop="1"/>
    <row r="86" spans="1:78" ht="12.95" hidden="1" customHeight="1">
      <c r="A86" s="307"/>
      <c r="C86" s="137"/>
    </row>
    <row r="87" spans="1:78" ht="12.95" hidden="1" customHeight="1">
      <c r="D87" s="137"/>
      <c r="AB87" s="2310"/>
      <c r="AC87" s="2310"/>
      <c r="AD87" s="2310"/>
      <c r="AE87" s="2310"/>
      <c r="AF87" s="2310"/>
    </row>
    <row r="88" spans="1:78" ht="12.95" hidden="1" customHeight="1" thickBot="1">
      <c r="D88" s="137"/>
      <c r="AB88" s="2309"/>
      <c r="AC88" s="2309"/>
      <c r="AD88" s="2309"/>
      <c r="AE88" s="2309"/>
      <c r="AF88" s="2309"/>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Z833" activeCellId="1" sqref="Z827:AE830 Z833:AE841"/>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353" t="s">
        <v>2149</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row>
    <row r="2" spans="1:41" s="436" customFormat="1" ht="12.7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2150</v>
      </c>
      <c r="B4" s="439" t="s">
        <v>2151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2152</v>
      </c>
      <c r="B7" s="439" t="s">
        <v>2153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6" t="s">
        <v>2154</v>
      </c>
      <c r="AF7" s="2346"/>
      <c r="AG7" s="2346"/>
      <c r="AH7" s="2346"/>
      <c r="AI7" s="2346"/>
      <c r="AJ7" s="2346"/>
      <c r="AK7" s="2346"/>
      <c r="AL7" s="440"/>
      <c r="AM7" s="440"/>
      <c r="AN7" s="435"/>
    </row>
    <row r="8" spans="1:41" s="436" customFormat="1" ht="12.75" customHeight="1">
      <c r="A8" s="438"/>
      <c r="B8" s="439" t="s">
        <v>2155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2156</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8" t="s">
        <v>826</v>
      </c>
      <c r="C12" s="2318"/>
      <c r="D12" s="440"/>
      <c r="E12" s="2334" t="s">
        <v>2157</v>
      </c>
      <c r="F12" s="2335"/>
      <c r="G12" s="2335"/>
      <c r="H12" s="2335"/>
      <c r="I12" s="2335"/>
      <c r="J12" s="2335"/>
      <c r="K12" s="2335"/>
      <c r="L12" s="2335"/>
      <c r="M12" s="2335"/>
      <c r="N12" s="2335"/>
      <c r="O12" s="2335"/>
      <c r="P12" s="2335"/>
      <c r="Q12" s="2335"/>
      <c r="R12" s="2335"/>
      <c r="S12" s="2335"/>
      <c r="T12" s="2335"/>
      <c r="U12" s="2335"/>
      <c r="V12" s="2335"/>
      <c r="W12" s="2335"/>
      <c r="X12" s="2335"/>
      <c r="Y12" s="2335"/>
      <c r="Z12" s="2335"/>
      <c r="AA12" s="2335"/>
      <c r="AB12" s="2335"/>
      <c r="AC12" s="2335"/>
      <c r="AD12" s="2335"/>
      <c r="AE12" s="2335"/>
      <c r="AF12" s="2335"/>
      <c r="AG12" s="2335"/>
      <c r="AH12" s="2335"/>
      <c r="AI12" s="2335"/>
      <c r="AJ12" s="2336"/>
      <c r="AK12" s="440"/>
      <c r="AL12" s="440"/>
      <c r="AM12" s="440"/>
      <c r="AN12" s="435"/>
      <c r="AO12" s="457"/>
    </row>
    <row r="13" spans="1:41" s="436" customFormat="1" ht="12.75" customHeight="1">
      <c r="A13" s="440"/>
      <c r="D13" s="446"/>
      <c r="E13" s="2363"/>
      <c r="F13" s="2364"/>
      <c r="G13" s="2364"/>
      <c r="H13" s="2364"/>
      <c r="I13" s="2364"/>
      <c r="J13" s="2364"/>
      <c r="K13" s="2364"/>
      <c r="L13" s="2364"/>
      <c r="M13" s="2364"/>
      <c r="N13" s="2364"/>
      <c r="O13" s="2364"/>
      <c r="P13" s="2364"/>
      <c r="Q13" s="2364"/>
      <c r="R13" s="2364"/>
      <c r="S13" s="2364"/>
      <c r="T13" s="2364"/>
      <c r="U13" s="2364"/>
      <c r="V13" s="2364"/>
      <c r="W13" s="2364"/>
      <c r="X13" s="2364"/>
      <c r="Y13" s="2364"/>
      <c r="Z13" s="2364"/>
      <c r="AA13" s="2364"/>
      <c r="AB13" s="2364"/>
      <c r="AC13" s="2364"/>
      <c r="AD13" s="2364"/>
      <c r="AE13" s="2364"/>
      <c r="AF13" s="2364"/>
      <c r="AG13" s="2364"/>
      <c r="AH13" s="2364"/>
      <c r="AI13" s="2364"/>
      <c r="AJ13" s="2365"/>
      <c r="AK13" s="440"/>
      <c r="AL13" s="440"/>
      <c r="AM13" s="440"/>
      <c r="AN13" s="435"/>
      <c r="AO13" s="457"/>
    </row>
    <row r="14" spans="1:41" s="436" customFormat="1" ht="12.75" customHeight="1">
      <c r="A14" s="440"/>
      <c r="D14" s="440"/>
      <c r="E14" s="2337"/>
      <c r="F14" s="2338"/>
      <c r="G14" s="2338"/>
      <c r="H14" s="2338"/>
      <c r="I14" s="2338"/>
      <c r="J14" s="2338"/>
      <c r="K14" s="2338"/>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c r="AH14" s="2338"/>
      <c r="AI14" s="2338"/>
      <c r="AJ14" s="2339"/>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8" t="s">
        <v>826</v>
      </c>
      <c r="C16" s="2318"/>
      <c r="D16" s="440"/>
      <c r="E16" s="2334" t="s">
        <v>2158</v>
      </c>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6"/>
      <c r="AK16" s="440"/>
      <c r="AL16" s="440"/>
      <c r="AM16" s="440"/>
      <c r="AN16" s="435"/>
    </row>
    <row r="17" spans="1:50" s="436" customFormat="1" ht="12.75" customHeight="1">
      <c r="A17" s="440"/>
      <c r="B17" s="440"/>
      <c r="C17" s="440"/>
      <c r="D17" s="440"/>
      <c r="E17" s="2363"/>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5"/>
      <c r="AK17" s="440"/>
      <c r="AL17" s="440"/>
      <c r="AM17" s="440"/>
      <c r="AN17" s="435"/>
    </row>
    <row r="18" spans="1:50" s="436" customFormat="1" ht="12.75" customHeight="1">
      <c r="A18" s="440"/>
      <c r="B18" s="440"/>
      <c r="C18" s="1024"/>
      <c r="D18" s="440"/>
      <c r="E18" s="2337"/>
      <c r="F18" s="2338"/>
      <c r="G18" s="2338"/>
      <c r="H18" s="2338"/>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9"/>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8" t="s">
        <v>826</v>
      </c>
      <c r="C20" s="2318"/>
      <c r="D20" s="440"/>
      <c r="E20" s="2334" t="s">
        <v>2159</v>
      </c>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6"/>
      <c r="AK20" s="440"/>
      <c r="AL20" s="440"/>
      <c r="AM20" s="440"/>
      <c r="AN20" s="435"/>
    </row>
    <row r="21" spans="1:50" s="436" customFormat="1" ht="12.75" customHeight="1">
      <c r="A21" s="440"/>
      <c r="B21" s="446"/>
      <c r="C21" s="446"/>
      <c r="D21" s="446"/>
      <c r="E21" s="2337"/>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9"/>
      <c r="AK21" s="440"/>
      <c r="AL21" s="440"/>
      <c r="AM21" s="440"/>
      <c r="AN21" s="435"/>
      <c r="AO21" s="436">
        <f>IF(AND(B12="Yes",B16="Yes",B20="Yes"),10,0)</f>
        <v>0</v>
      </c>
      <c r="AP21" s="436" t="s">
        <v>2160</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2161</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2162</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8" t="s">
        <v>826</v>
      </c>
      <c r="C26" s="2318"/>
      <c r="D26" s="446"/>
      <c r="E26" s="447" t="s">
        <v>2163</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5"/>
      <c r="AH26" s="2355"/>
      <c r="AI26" s="2355"/>
      <c r="AJ26" s="2356"/>
      <c r="AK26" s="440"/>
      <c r="AL26" s="440"/>
      <c r="AM26" s="440"/>
      <c r="AN26" s="435"/>
      <c r="AO26" s="436">
        <f>IF($B26="yes",20,0)</f>
        <v>0</v>
      </c>
      <c r="AP26" s="13" t="s">
        <v>2160</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2164</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8" t="s">
        <v>826</v>
      </c>
      <c r="C30" s="2318"/>
      <c r="D30" s="446"/>
      <c r="E30" s="2319" t="s">
        <v>2165</v>
      </c>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1"/>
      <c r="AK30" s="440"/>
      <c r="AL30" s="440"/>
      <c r="AM30" s="440"/>
      <c r="AN30" s="435"/>
      <c r="AO30" s="449">
        <f>IF($B30="yes",9,0)</f>
        <v>0</v>
      </c>
    </row>
    <row r="31" spans="1:50" s="436" customFormat="1" ht="12.75" customHeight="1">
      <c r="A31" s="440"/>
      <c r="B31" s="440"/>
      <c r="C31" s="440"/>
      <c r="E31" s="2322"/>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4"/>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8" t="s">
        <v>826</v>
      </c>
      <c r="C33" s="2318"/>
      <c r="D33" s="446"/>
      <c r="E33" s="2319" t="s">
        <v>2166</v>
      </c>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2321"/>
      <c r="AK33" s="440"/>
      <c r="AL33" s="440"/>
      <c r="AM33" s="440"/>
      <c r="AN33" s="435"/>
      <c r="AO33" s="449">
        <f>IF($B39="yes",9,0)</f>
        <v>0</v>
      </c>
    </row>
    <row r="34" spans="1:43" s="436" customFormat="1" ht="12.75" customHeight="1">
      <c r="A34" s="440"/>
      <c r="B34" s="440"/>
      <c r="C34" s="440"/>
      <c r="D34" s="446"/>
      <c r="E34" s="2360"/>
      <c r="F34" s="2361"/>
      <c r="G34" s="2361"/>
      <c r="H34" s="2361"/>
      <c r="I34" s="2361"/>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2"/>
      <c r="AK34" s="440"/>
      <c r="AL34" s="440"/>
      <c r="AM34" s="440"/>
      <c r="AN34" s="435"/>
      <c r="AO34" s="436">
        <f>MAX(AO30,AO31,AO32,AO33)</f>
        <v>0</v>
      </c>
      <c r="AP34" s="436" t="s">
        <v>2160</v>
      </c>
    </row>
    <row r="35" spans="1:43" s="436" customFormat="1" ht="12.75" customHeight="1">
      <c r="A35" s="440"/>
      <c r="B35" s="440"/>
      <c r="C35" s="440"/>
      <c r="E35" s="2322"/>
      <c r="F35" s="2323"/>
      <c r="G35" s="2323"/>
      <c r="H35" s="2323"/>
      <c r="I35" s="2323"/>
      <c r="J35" s="2323"/>
      <c r="K35" s="2323"/>
      <c r="L35" s="2323"/>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4"/>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8" t="s">
        <v>826</v>
      </c>
      <c r="C37" s="2318"/>
      <c r="D37" s="1025"/>
      <c r="E37" s="2325" t="s">
        <v>2167</v>
      </c>
      <c r="F37" s="2326"/>
      <c r="G37" s="2326"/>
      <c r="H37" s="2326"/>
      <c r="I37" s="2326"/>
      <c r="J37" s="2326"/>
      <c r="K37" s="2326"/>
      <c r="L37" s="2326"/>
      <c r="M37" s="2326"/>
      <c r="N37" s="2326"/>
      <c r="O37" s="2326"/>
      <c r="P37" s="2326"/>
      <c r="Q37" s="2326"/>
      <c r="R37" s="2326"/>
      <c r="S37" s="2326"/>
      <c r="T37" s="2326"/>
      <c r="U37" s="2326"/>
      <c r="V37" s="2326"/>
      <c r="W37" s="2326"/>
      <c r="X37" s="2326"/>
      <c r="Y37" s="2326"/>
      <c r="Z37" s="2326"/>
      <c r="AA37" s="2326"/>
      <c r="AB37" s="2326"/>
      <c r="AC37" s="2326"/>
      <c r="AD37" s="2326"/>
      <c r="AE37" s="2326"/>
      <c r="AF37" s="2326"/>
      <c r="AG37" s="2326"/>
      <c r="AH37" s="2326"/>
      <c r="AI37" s="2326"/>
      <c r="AJ37" s="2327"/>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8" t="s">
        <v>826</v>
      </c>
      <c r="C39" s="2318"/>
      <c r="D39" s="1025"/>
      <c r="E39" s="2325" t="s">
        <v>2168</v>
      </c>
      <c r="F39" s="2326"/>
      <c r="G39" s="2326"/>
      <c r="H39" s="2326"/>
      <c r="I39" s="2326"/>
      <c r="J39" s="2326"/>
      <c r="K39" s="2326"/>
      <c r="L39" s="2326"/>
      <c r="M39" s="2326"/>
      <c r="N39" s="2326"/>
      <c r="O39" s="2326"/>
      <c r="P39" s="2326"/>
      <c r="Q39" s="2326"/>
      <c r="R39" s="2326"/>
      <c r="S39" s="2326"/>
      <c r="T39" s="2326"/>
      <c r="U39" s="2326"/>
      <c r="V39" s="2326"/>
      <c r="W39" s="2326"/>
      <c r="X39" s="2326"/>
      <c r="Y39" s="2326"/>
      <c r="Z39" s="2326"/>
      <c r="AA39" s="2326"/>
      <c r="AB39" s="2326"/>
      <c r="AC39" s="2326"/>
      <c r="AD39" s="2326"/>
      <c r="AE39" s="2326"/>
      <c r="AF39" s="2326"/>
      <c r="AG39" s="2326"/>
      <c r="AH39" s="2326"/>
      <c r="AI39" s="2326"/>
      <c r="AJ39" s="2327"/>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2169</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8" t="s">
        <v>826</v>
      </c>
      <c r="C43" s="2318"/>
      <c r="D43" s="446"/>
      <c r="E43" s="2328" t="s">
        <v>2170</v>
      </c>
      <c r="F43" s="2329"/>
      <c r="G43" s="2329"/>
      <c r="H43" s="2329"/>
      <c r="I43" s="2329"/>
      <c r="J43" s="2329"/>
      <c r="K43" s="2329"/>
      <c r="L43" s="232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30"/>
      <c r="AK43" s="440"/>
      <c r="AL43" s="440"/>
      <c r="AM43" s="440"/>
      <c r="AN43" s="435"/>
      <c r="AO43" s="449">
        <f>IF($B43="yes",8,0)</f>
        <v>0</v>
      </c>
      <c r="AP43" s="13"/>
    </row>
    <row r="44" spans="1:43" s="436" customFormat="1" ht="12.75" customHeight="1">
      <c r="A44" s="440"/>
      <c r="B44" s="440"/>
      <c r="C44" s="440"/>
      <c r="D44" s="450"/>
      <c r="E44" s="2331"/>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3"/>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8" t="s">
        <v>826</v>
      </c>
      <c r="C46" s="2318"/>
      <c r="D46" s="446"/>
      <c r="E46" s="2319" t="s">
        <v>2171</v>
      </c>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H46" s="2320"/>
      <c r="AI46" s="2320"/>
      <c r="AJ46" s="2321"/>
      <c r="AK46" s="440"/>
      <c r="AL46" s="440"/>
      <c r="AM46" s="440"/>
      <c r="AN46" s="435"/>
      <c r="AO46" s="449">
        <f>IF($B52="yes",8,0)</f>
        <v>0</v>
      </c>
    </row>
    <row r="47" spans="1:43" s="436" customFormat="1" ht="12.75" customHeight="1">
      <c r="A47" s="440"/>
      <c r="B47" s="440"/>
      <c r="C47" s="440"/>
      <c r="D47" s="449"/>
      <c r="E47" s="2322"/>
      <c r="F47" s="2323"/>
      <c r="G47" s="2323"/>
      <c r="H47" s="2323"/>
      <c r="I47" s="2323"/>
      <c r="J47" s="2323"/>
      <c r="K47" s="2323"/>
      <c r="L47" s="2323"/>
      <c r="M47" s="2323"/>
      <c r="N47" s="2323"/>
      <c r="O47" s="2323"/>
      <c r="P47" s="2323"/>
      <c r="Q47" s="2323"/>
      <c r="R47" s="2323"/>
      <c r="S47" s="2323"/>
      <c r="T47" s="2323"/>
      <c r="U47" s="2323"/>
      <c r="V47" s="2323"/>
      <c r="W47" s="2323"/>
      <c r="X47" s="2323"/>
      <c r="Y47" s="2323"/>
      <c r="Z47" s="2323"/>
      <c r="AA47" s="2323"/>
      <c r="AB47" s="2323"/>
      <c r="AC47" s="2323"/>
      <c r="AD47" s="2323"/>
      <c r="AE47" s="2323"/>
      <c r="AF47" s="2323"/>
      <c r="AG47" s="2323"/>
      <c r="AH47" s="2323"/>
      <c r="AI47" s="2323"/>
      <c r="AJ47" s="2324"/>
      <c r="AK47" s="440"/>
      <c r="AL47" s="440"/>
      <c r="AM47" s="440"/>
      <c r="AN47" s="435"/>
      <c r="AO47" s="436">
        <f>MAX(AO43,AO44,AO45,AO46)</f>
        <v>0</v>
      </c>
      <c r="AP47" s="436" t="s">
        <v>2160</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8" t="s">
        <v>826</v>
      </c>
      <c r="C49" s="2318"/>
      <c r="D49" s="446"/>
      <c r="E49" s="2334" t="s">
        <v>2172</v>
      </c>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6"/>
      <c r="AK49" s="440"/>
      <c r="AL49" s="440"/>
      <c r="AM49" s="440"/>
      <c r="AN49" s="435"/>
      <c r="AO49" s="449"/>
    </row>
    <row r="50" spans="1:42" s="436" customFormat="1" ht="12.75" customHeight="1">
      <c r="A50" s="440"/>
      <c r="B50" s="440"/>
      <c r="C50" s="440"/>
      <c r="D50" s="449"/>
      <c r="E50" s="2337"/>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9"/>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8" t="s">
        <v>826</v>
      </c>
      <c r="C52" s="2318"/>
      <c r="D52" s="446"/>
      <c r="E52" s="2325" t="s">
        <v>2173</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2174</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8" t="s">
        <v>826</v>
      </c>
      <c r="C56" s="2318"/>
      <c r="D56" s="446"/>
      <c r="E56" s="2334" t="s">
        <v>2175</v>
      </c>
      <c r="F56" s="2335"/>
      <c r="G56" s="2335"/>
      <c r="H56" s="2335"/>
      <c r="I56" s="2335"/>
      <c r="J56" s="2335"/>
      <c r="K56" s="2335"/>
      <c r="L56" s="2335"/>
      <c r="M56" s="2335"/>
      <c r="N56" s="2335"/>
      <c r="O56" s="2335"/>
      <c r="P56" s="2335"/>
      <c r="Q56" s="2335"/>
      <c r="R56" s="2335"/>
      <c r="S56" s="2335"/>
      <c r="T56" s="2335"/>
      <c r="U56" s="2335"/>
      <c r="V56" s="2335"/>
      <c r="W56" s="2335"/>
      <c r="X56" s="2335"/>
      <c r="Y56" s="2335"/>
      <c r="Z56" s="2335"/>
      <c r="AA56" s="2335"/>
      <c r="AB56" s="2335"/>
      <c r="AC56" s="2335"/>
      <c r="AD56" s="2335"/>
      <c r="AE56" s="2335"/>
      <c r="AF56" s="2335"/>
      <c r="AG56" s="2335"/>
      <c r="AH56" s="2335"/>
      <c r="AI56" s="2335"/>
      <c r="AJ56" s="2336"/>
      <c r="AK56" s="440"/>
      <c r="AL56" s="440"/>
      <c r="AM56" s="440"/>
      <c r="AN56" s="435"/>
      <c r="AO56" s="449">
        <f>IF($B59="yes",7,0)</f>
        <v>0</v>
      </c>
    </row>
    <row r="57" spans="1:42" s="436" customFormat="1" ht="12.75" customHeight="1">
      <c r="A57" s="440"/>
      <c r="B57" s="440"/>
      <c r="C57" s="440"/>
      <c r="D57" s="449"/>
      <c r="E57" s="2337"/>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9"/>
      <c r="AK57" s="440"/>
      <c r="AL57" s="440"/>
      <c r="AM57" s="440"/>
      <c r="AN57" s="435"/>
      <c r="AO57" s="436">
        <f>MAX(AO55:AO56)</f>
        <v>0</v>
      </c>
      <c r="AP57" s="436" t="s">
        <v>2160</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8" t="s">
        <v>826</v>
      </c>
      <c r="C59" s="2318"/>
      <c r="D59" s="446"/>
      <c r="E59" s="2325" t="s">
        <v>2176</v>
      </c>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7"/>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2160</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2177</v>
      </c>
      <c r="AK61" s="2357">
        <f>AO60</f>
        <v>0</v>
      </c>
      <c r="AL61" s="2358"/>
      <c r="AM61" s="2359"/>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2178</v>
      </c>
      <c r="B64" s="439" t="s">
        <v>624</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6" t="s">
        <v>2179</v>
      </c>
      <c r="AF64" s="2346"/>
      <c r="AG64" s="2346"/>
      <c r="AH64" s="2346"/>
      <c r="AI64" s="2346"/>
      <c r="AJ64" s="2346"/>
      <c r="AK64" s="2346"/>
      <c r="AL64" s="440"/>
      <c r="AM64" s="440"/>
      <c r="AN64" s="435"/>
    </row>
    <row r="65" spans="1:42" s="436" customFormat="1" ht="12.75" customHeight="1">
      <c r="A65" s="438"/>
      <c r="B65" s="439" t="s">
        <v>2180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8" t="s">
        <v>862</v>
      </c>
      <c r="C67" s="2318"/>
      <c r="D67" s="446" t="s">
        <v>2181</v>
      </c>
      <c r="E67" s="2328" t="s">
        <v>2182</v>
      </c>
      <c r="F67" s="2329"/>
      <c r="G67" s="2329"/>
      <c r="H67" s="2329"/>
      <c r="I67" s="2329"/>
      <c r="J67" s="2329"/>
      <c r="K67" s="2329"/>
      <c r="L67" s="232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30"/>
      <c r="AK67" s="443"/>
      <c r="AL67" s="440"/>
      <c r="AM67" s="440"/>
      <c r="AN67" s="435"/>
      <c r="AO67" s="449">
        <f>IF($B67="yes",10,0)</f>
        <v>10</v>
      </c>
    </row>
    <row r="68" spans="1:42" s="436" customFormat="1" ht="12.75" customHeight="1">
      <c r="A68" s="438"/>
      <c r="B68" s="440"/>
      <c r="C68" s="440"/>
      <c r="D68" s="450"/>
      <c r="E68" s="2347"/>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443"/>
      <c r="AL68" s="440"/>
      <c r="AM68" s="440"/>
      <c r="AN68" s="435"/>
      <c r="AO68" s="449">
        <f>IF(AND($B73="yes",OR(E74="Yes",E75="Yes",E76="Yes")),10,0)</f>
        <v>0</v>
      </c>
    </row>
    <row r="69" spans="1:42" s="436" customFormat="1" ht="12.75" customHeight="1">
      <c r="A69" s="438"/>
      <c r="B69" s="440"/>
      <c r="C69" s="440"/>
      <c r="D69" s="450"/>
      <c r="E69" s="2347"/>
      <c r="F69" s="2348"/>
      <c r="G69" s="2348"/>
      <c r="H69" s="2348"/>
      <c r="I69" s="2348"/>
      <c r="J69" s="2348"/>
      <c r="K69" s="2348"/>
      <c r="L69" s="2348"/>
      <c r="M69" s="2348"/>
      <c r="N69" s="2348"/>
      <c r="O69" s="2348"/>
      <c r="P69" s="2348"/>
      <c r="Q69" s="2348"/>
      <c r="R69" s="2348"/>
      <c r="S69" s="2348"/>
      <c r="T69" s="2348"/>
      <c r="U69" s="2348"/>
      <c r="V69" s="2348"/>
      <c r="W69" s="2348"/>
      <c r="X69" s="2348"/>
      <c r="Y69" s="2348"/>
      <c r="Z69" s="2348"/>
      <c r="AA69" s="2348"/>
      <c r="AB69" s="2348"/>
      <c r="AC69" s="2348"/>
      <c r="AD69" s="2348"/>
      <c r="AE69" s="2348"/>
      <c r="AF69" s="2348"/>
      <c r="AG69" s="2348"/>
      <c r="AH69" s="2348"/>
      <c r="AI69" s="2348"/>
      <c r="AJ69" s="2349"/>
      <c r="AK69" s="443"/>
      <c r="AL69" s="440"/>
      <c r="AM69" s="440"/>
      <c r="AN69" s="435"/>
      <c r="AO69" s="449">
        <f>IF($B78="yes",10,0)</f>
        <v>0</v>
      </c>
    </row>
    <row r="70" spans="1:42" s="436" customFormat="1" ht="12.75" customHeight="1">
      <c r="A70" s="438"/>
      <c r="B70" s="440"/>
      <c r="C70" s="440"/>
      <c r="D70" s="450"/>
      <c r="E70" s="2347"/>
      <c r="F70" s="2348"/>
      <c r="G70" s="2348"/>
      <c r="H70" s="2348"/>
      <c r="I70" s="2348"/>
      <c r="J70" s="2348"/>
      <c r="K70" s="2348"/>
      <c r="L70" s="2348"/>
      <c r="M70" s="2348"/>
      <c r="N70" s="2348"/>
      <c r="O70" s="2348"/>
      <c r="P70" s="2348"/>
      <c r="Q70" s="2348"/>
      <c r="R70" s="2348"/>
      <c r="S70" s="2348"/>
      <c r="T70" s="2348"/>
      <c r="U70" s="2348"/>
      <c r="V70" s="2348"/>
      <c r="W70" s="2348"/>
      <c r="X70" s="2348"/>
      <c r="Y70" s="2348"/>
      <c r="Z70" s="2348"/>
      <c r="AA70" s="2348"/>
      <c r="AB70" s="2348"/>
      <c r="AC70" s="2348"/>
      <c r="AD70" s="2348"/>
      <c r="AE70" s="2348"/>
      <c r="AF70" s="2348"/>
      <c r="AG70" s="2348"/>
      <c r="AH70" s="2348"/>
      <c r="AI70" s="2348"/>
      <c r="AJ70" s="2349"/>
      <c r="AK70" s="443"/>
      <c r="AL70" s="440"/>
      <c r="AM70" s="440"/>
      <c r="AN70" s="435"/>
      <c r="AO70" s="449">
        <f>IF($B81="yes",10,0)</f>
        <v>0</v>
      </c>
    </row>
    <row r="71" spans="1:42" s="436" customFormat="1" ht="12.75" customHeight="1">
      <c r="A71" s="438"/>
      <c r="B71" s="440"/>
      <c r="C71" s="440"/>
      <c r="D71" s="450"/>
      <c r="E71" s="2331"/>
      <c r="F71" s="2332"/>
      <c r="G71" s="2332"/>
      <c r="H71" s="2332"/>
      <c r="I71" s="2332"/>
      <c r="J71" s="2332"/>
      <c r="K71" s="2332"/>
      <c r="L71" s="2332"/>
      <c r="M71" s="2332"/>
      <c r="N71" s="2332"/>
      <c r="O71" s="2332"/>
      <c r="P71" s="2332"/>
      <c r="Q71" s="2332"/>
      <c r="R71" s="2332"/>
      <c r="S71" s="2332"/>
      <c r="T71" s="2332"/>
      <c r="U71" s="2332"/>
      <c r="V71" s="2332"/>
      <c r="W71" s="2332"/>
      <c r="X71" s="2332"/>
      <c r="Y71" s="2332"/>
      <c r="Z71" s="2332"/>
      <c r="AA71" s="2332"/>
      <c r="AB71" s="2332"/>
      <c r="AC71" s="2332"/>
      <c r="AD71" s="2332"/>
      <c r="AE71" s="2332"/>
      <c r="AF71" s="2332"/>
      <c r="AG71" s="2332"/>
      <c r="AH71" s="2332"/>
      <c r="AI71" s="2332"/>
      <c r="AJ71" s="2333"/>
      <c r="AK71" s="443"/>
      <c r="AL71" s="440"/>
      <c r="AM71" s="440"/>
      <c r="AN71" s="435"/>
      <c r="AO71" s="436">
        <f>IF(SUM(AO67:AO69)&gt;10,10,(SUM(AO67:AO69)))</f>
        <v>10</v>
      </c>
      <c r="AP71" s="472" t="s">
        <v>2183</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8" t="s">
        <v>826</v>
      </c>
      <c r="C73" s="2318"/>
      <c r="D73" s="446" t="s">
        <v>2184</v>
      </c>
      <c r="E73" s="861" t="s">
        <v>2185</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0" t="s">
        <v>826</v>
      </c>
      <c r="F74" s="2318"/>
      <c r="G74" s="473"/>
      <c r="H74" s="456" t="s">
        <v>2186</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4" t="s">
        <v>826</v>
      </c>
      <c r="F75" s="2345"/>
      <c r="G75" s="473"/>
      <c r="H75" s="456" t="s">
        <v>2187</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4" t="s">
        <v>826</v>
      </c>
      <c r="F76" s="2345"/>
      <c r="G76" s="798"/>
      <c r="H76" s="1088" t="s">
        <v>2188</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8" t="s">
        <v>826</v>
      </c>
      <c r="C78" s="2318"/>
      <c r="D78" s="446" t="s">
        <v>2189</v>
      </c>
      <c r="E78" s="2334" t="s">
        <v>2190</v>
      </c>
      <c r="F78" s="2335"/>
      <c r="G78" s="2335"/>
      <c r="H78" s="2335"/>
      <c r="I78" s="2335"/>
      <c r="J78" s="2335"/>
      <c r="K78" s="2335"/>
      <c r="L78" s="2335"/>
      <c r="M78" s="2335"/>
      <c r="N78" s="2335"/>
      <c r="O78" s="2335"/>
      <c r="P78" s="2335"/>
      <c r="Q78" s="2335"/>
      <c r="R78" s="2335"/>
      <c r="S78" s="2335"/>
      <c r="T78" s="2335"/>
      <c r="U78" s="2335"/>
      <c r="V78" s="2335"/>
      <c r="W78" s="2335"/>
      <c r="X78" s="2335"/>
      <c r="Y78" s="2335"/>
      <c r="Z78" s="2335"/>
      <c r="AA78" s="2335"/>
      <c r="AB78" s="2335"/>
      <c r="AC78" s="2335"/>
      <c r="AD78" s="2335"/>
      <c r="AE78" s="2335"/>
      <c r="AF78" s="2335"/>
      <c r="AG78" s="2335"/>
      <c r="AH78" s="2335"/>
      <c r="AI78" s="2335"/>
      <c r="AJ78" s="2336"/>
      <c r="AK78" s="443"/>
      <c r="AL78" s="440"/>
      <c r="AM78" s="440"/>
      <c r="AN78" s="435"/>
    </row>
    <row r="79" spans="1:42" s="436" customFormat="1" ht="12.75" customHeight="1">
      <c r="A79" s="438"/>
      <c r="B79" s="440"/>
      <c r="C79" s="440"/>
      <c r="E79" s="2337"/>
      <c r="F79" s="2338"/>
      <c r="G79" s="2338"/>
      <c r="H79" s="2338"/>
      <c r="I79" s="2338"/>
      <c r="J79" s="2338"/>
      <c r="K79" s="2338"/>
      <c r="L79" s="2338"/>
      <c r="M79" s="2338"/>
      <c r="N79" s="2338"/>
      <c r="O79" s="2338"/>
      <c r="P79" s="2338"/>
      <c r="Q79" s="2338"/>
      <c r="R79" s="2338"/>
      <c r="S79" s="2338"/>
      <c r="T79" s="2338"/>
      <c r="U79" s="2338"/>
      <c r="V79" s="2338"/>
      <c r="W79" s="2338"/>
      <c r="X79" s="2338"/>
      <c r="Y79" s="2338"/>
      <c r="Z79" s="2338"/>
      <c r="AA79" s="2338"/>
      <c r="AB79" s="2338"/>
      <c r="AC79" s="2338"/>
      <c r="AD79" s="2338"/>
      <c r="AE79" s="2338"/>
      <c r="AF79" s="2338"/>
      <c r="AG79" s="2338"/>
      <c r="AH79" s="2338"/>
      <c r="AI79" s="2338"/>
      <c r="AJ79" s="2339"/>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8" t="s">
        <v>826</v>
      </c>
      <c r="C81" s="2318"/>
      <c r="D81" s="446" t="s">
        <v>2191</v>
      </c>
      <c r="E81" s="2325" t="s">
        <v>2192</v>
      </c>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7"/>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2193</v>
      </c>
      <c r="AK83" s="2357">
        <f>IF(AK61&gt;0,0,AO71)</f>
        <v>10</v>
      </c>
      <c r="AL83" s="2358"/>
      <c r="AM83" s="2359"/>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2194</v>
      </c>
      <c r="B86" s="439" t="s">
        <v>2195</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6" t="s">
        <v>2154</v>
      </c>
      <c r="AF86" s="2346"/>
      <c r="AG86" s="2346"/>
      <c r="AH86" s="2346"/>
      <c r="AI86" s="2346"/>
      <c r="AJ86" s="2346"/>
      <c r="AK86" s="2346"/>
      <c r="AL86" s="440"/>
      <c r="AM86" s="440"/>
      <c r="AN86" s="435"/>
    </row>
    <row r="87" spans="1:43" s="436" customFormat="1" ht="12.75" customHeight="1">
      <c r="A87" s="438"/>
      <c r="B87" s="439" t="s">
        <v>2196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8" t="s">
        <v>826</v>
      </c>
      <c r="C89" s="2318"/>
      <c r="D89" s="446" t="s">
        <v>2181</v>
      </c>
      <c r="E89" s="2328" t="s">
        <v>2197</v>
      </c>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30"/>
      <c r="AK89" s="443"/>
      <c r="AL89" s="440"/>
      <c r="AM89" s="440"/>
      <c r="AN89" s="435"/>
    </row>
    <row r="90" spans="1:43" s="436" customFormat="1" ht="12.75" customHeight="1">
      <c r="A90" s="438"/>
      <c r="B90" s="439"/>
      <c r="C90" s="439"/>
      <c r="D90" s="439"/>
      <c r="E90" s="2347"/>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0">
        <f>Application!AC761</f>
        <v>0.43434343434343431</v>
      </c>
      <c r="F92" s="2341"/>
      <c r="G92" s="2341"/>
      <c r="H92" s="2341"/>
      <c r="I92" s="475"/>
      <c r="J92" s="478" t="s">
        <v>2198</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2">
        <f>0.6-ROUNDUP(E92,2)</f>
        <v>0.15999999999999998</v>
      </c>
      <c r="F93" s="2343"/>
      <c r="G93" s="2343"/>
      <c r="H93" s="2343"/>
      <c r="I93" s="475"/>
      <c r="J93" s="478" t="s">
        <v>2199</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69">
        <f>IF(E93*200&gt;20,20,E93*200)</f>
        <v>20</v>
      </c>
      <c r="F94" s="2370"/>
      <c r="G94" s="2370"/>
      <c r="H94" s="2370"/>
      <c r="I94" s="475"/>
      <c r="J94" s="478" t="s">
        <v>2200</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2160</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8" t="s">
        <v>862</v>
      </c>
      <c r="C97" s="2318"/>
      <c r="D97" s="446" t="s">
        <v>2184</v>
      </c>
      <c r="E97" s="2328" t="s">
        <v>2201</v>
      </c>
      <c r="F97" s="2329"/>
      <c r="G97" s="2329"/>
      <c r="H97" s="2329"/>
      <c r="I97" s="2329"/>
      <c r="J97" s="2329"/>
      <c r="K97" s="2329"/>
      <c r="L97" s="2329"/>
      <c r="M97" s="2329"/>
      <c r="N97" s="2329"/>
      <c r="O97" s="2329"/>
      <c r="P97" s="2329"/>
      <c r="Q97" s="2329"/>
      <c r="R97" s="2329"/>
      <c r="S97" s="2329"/>
      <c r="T97" s="2329"/>
      <c r="U97" s="2329"/>
      <c r="V97" s="2329"/>
      <c r="W97" s="2329"/>
      <c r="X97" s="2329"/>
      <c r="Y97" s="2329"/>
      <c r="Z97" s="2329"/>
      <c r="AA97" s="2329"/>
      <c r="AB97" s="2329"/>
      <c r="AC97" s="2329"/>
      <c r="AD97" s="2329"/>
      <c r="AE97" s="2329"/>
      <c r="AF97" s="2329"/>
      <c r="AG97" s="2329"/>
      <c r="AH97" s="2329"/>
      <c r="AI97" s="2329"/>
      <c r="AJ97" s="2330"/>
      <c r="AK97" s="443"/>
      <c r="AL97" s="440"/>
      <c r="AM97" s="440"/>
      <c r="AN97" s="435"/>
    </row>
    <row r="98" spans="1:47" s="436" customFormat="1" ht="12.75" customHeight="1">
      <c r="A98" s="438"/>
      <c r="B98" s="439"/>
      <c r="C98" s="439"/>
      <c r="D98" s="439"/>
      <c r="E98" s="2347"/>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443"/>
      <c r="AL98" s="440"/>
      <c r="AM98" s="440"/>
      <c r="AN98" s="435"/>
    </row>
    <row r="99" spans="1:47" s="436" customFormat="1" ht="12.75" customHeight="1">
      <c r="A99" s="438"/>
      <c r="B99" s="439"/>
      <c r="C99" s="439"/>
      <c r="D99" s="439"/>
      <c r="E99" s="2347"/>
      <c r="F99" s="2348"/>
      <c r="G99" s="2348"/>
      <c r="H99" s="2348"/>
      <c r="I99" s="2348"/>
      <c r="J99" s="2348"/>
      <c r="K99" s="2348"/>
      <c r="L99" s="2348"/>
      <c r="M99" s="2348"/>
      <c r="N99" s="2348"/>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9"/>
      <c r="AK99" s="443"/>
      <c r="AL99" s="440"/>
      <c r="AM99" s="440"/>
      <c r="AN99" s="435"/>
    </row>
    <row r="100" spans="1:47" s="436" customFormat="1" ht="12.75" customHeight="1">
      <c r="A100" s="438"/>
      <c r="B100" s="439"/>
      <c r="C100" s="439"/>
      <c r="D100" s="439"/>
      <c r="E100" s="2347"/>
      <c r="F100" s="2348"/>
      <c r="G100" s="2348"/>
      <c r="H100" s="2348"/>
      <c r="I100" s="2348"/>
      <c r="J100" s="2348"/>
      <c r="K100" s="2348"/>
      <c r="L100" s="2348"/>
      <c r="M100" s="2348"/>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9"/>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0">
        <f>Application!AC761</f>
        <v>0.43434343434343431</v>
      </c>
      <c r="F102" s="2341"/>
      <c r="G102" s="2341"/>
      <c r="H102" s="2341"/>
      <c r="I102" s="475"/>
      <c r="J102" s="478" t="s">
        <v>2198</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0">
        <f ca="1">SUMIF(Application!AC726:AG760,0.2,Application!G726:J760)/Application!G761+SUMIF(Application!AC726:AG760,0.25,Application!G726:J760)/Application!G761+SUMIF(Application!AC726:AG760,0.3,Application!G726:J760)/Application!G761</f>
        <v>0.51515151515151514</v>
      </c>
      <c r="F103" s="2341"/>
      <c r="G103" s="2341"/>
      <c r="H103" s="2341"/>
      <c r="I103" s="475"/>
      <c r="J103" s="478" t="s">
        <v>2202</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0">
        <f ca="1">SUMIF(Application!AC726:AG760,0.35,Application!G726:J760)/Application!G761+SUMIF(Application!AC726:AG760,0.4,Application!G726:J760)/Application!G761+SUMIF(Application!AC726:AG760,0.45,Application!G726:J760)/Application!G761+SUMIF(Application!AC726:AG760,0.5,Application!G726:J760)/Application!G761</f>
        <v>0.24242424242424243</v>
      </c>
      <c r="F104" s="2341"/>
      <c r="G104" s="2341"/>
      <c r="H104" s="2341"/>
      <c r="I104" s="475"/>
      <c r="J104" s="478" t="s">
        <v>2203</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5">
        <f ca="1">IF(AND(E102&lt;=0.6,OR(AND(E103&gt;=0.1,E104&gt;=0.1),AND(E103&gt;0.1,(E103+E104)&gt;=0.2))),20,0)</f>
        <v>20</v>
      </c>
      <c r="F105" s="2376"/>
      <c r="G105" s="2376"/>
      <c r="H105" s="2376"/>
      <c r="I105" s="451"/>
      <c r="J105" s="485" t="s">
        <v>2200</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2160</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2204</v>
      </c>
      <c r="AK108" s="2357">
        <f ca="1">MAX(AP94,AP105)</f>
        <v>20</v>
      </c>
      <c r="AL108" s="2358"/>
      <c r="AM108" s="2359"/>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2205</v>
      </c>
      <c r="B111" s="439" t="s">
        <v>2206</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6" t="s">
        <v>2179</v>
      </c>
      <c r="AF111" s="2346"/>
      <c r="AG111" s="2346"/>
      <c r="AH111" s="2346"/>
      <c r="AI111" s="2346"/>
      <c r="AJ111" s="2346"/>
      <c r="AK111" s="2346"/>
      <c r="AL111" s="440"/>
      <c r="AM111" s="440"/>
      <c r="AN111" s="435"/>
      <c r="AO111" s="436" t="str">
        <f>Application!B726</f>
        <v>1 Bedroom</v>
      </c>
      <c r="AQ111" s="436">
        <f>Application!O726</f>
        <v>795</v>
      </c>
    </row>
    <row r="112" spans="1:47" s="436" customFormat="1" ht="12.75" customHeight="1">
      <c r="A112" s="440"/>
      <c r="B112" s="439" t="s">
        <v>2196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795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1337</v>
      </c>
    </row>
    <row r="114" spans="1:52" s="436" customFormat="1" ht="12.75" customHeight="1">
      <c r="A114" s="440"/>
      <c r="B114" s="2318" t="s">
        <v>862</v>
      </c>
      <c r="C114" s="2318"/>
      <c r="D114" s="446" t="s">
        <v>2181</v>
      </c>
      <c r="E114" s="2328" t="s">
        <v>2207</v>
      </c>
      <c r="F114" s="2329"/>
      <c r="G114" s="2329"/>
      <c r="H114" s="2329"/>
      <c r="I114" s="2329"/>
      <c r="J114" s="2329"/>
      <c r="K114" s="2329"/>
      <c r="L114" s="2329"/>
      <c r="M114" s="2329"/>
      <c r="N114" s="2329"/>
      <c r="O114" s="2329"/>
      <c r="P114" s="2329"/>
      <c r="Q114" s="2329"/>
      <c r="R114" s="2329"/>
      <c r="S114" s="2329"/>
      <c r="T114" s="2329"/>
      <c r="U114" s="2329"/>
      <c r="V114" s="2329"/>
      <c r="W114" s="2329"/>
      <c r="X114" s="2329"/>
      <c r="Y114" s="2329"/>
      <c r="Z114" s="2329"/>
      <c r="AA114" s="2329"/>
      <c r="AB114" s="2329"/>
      <c r="AC114" s="2329"/>
      <c r="AD114" s="2329"/>
      <c r="AE114" s="2329"/>
      <c r="AF114" s="2329"/>
      <c r="AG114" s="2329"/>
      <c r="AH114" s="2329"/>
      <c r="AI114" s="2329"/>
      <c r="AJ114" s="2330"/>
      <c r="AK114" s="440"/>
      <c r="AL114" s="440"/>
      <c r="AM114" s="440"/>
      <c r="AN114" s="435"/>
      <c r="AO114" s="436" t="str">
        <f>Application!B729</f>
        <v>2 Bedrooms</v>
      </c>
      <c r="AQ114" s="436">
        <f>Application!O729</f>
        <v>955</v>
      </c>
      <c r="AU114" s="436" t="s">
        <v>2208</v>
      </c>
      <c r="AV114" s="493" t="s">
        <v>1708</v>
      </c>
      <c r="AW114" s="436" t="s">
        <v>2209</v>
      </c>
    </row>
    <row r="115" spans="1:52" s="436" customFormat="1" ht="12.75" customHeight="1">
      <c r="A115" s="440"/>
      <c r="B115" s="439"/>
      <c r="C115" s="439"/>
      <c r="D115" s="439"/>
      <c r="E115" s="2347"/>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440"/>
      <c r="AL115" s="440"/>
      <c r="AM115" s="440"/>
      <c r="AN115" s="435"/>
      <c r="AO115" s="436" t="str">
        <f>Application!B730</f>
        <v>2 Bedrooms</v>
      </c>
      <c r="AQ115" s="436">
        <f>Application!O730</f>
        <v>1606</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440"/>
      <c r="AL116" s="440"/>
      <c r="AM116" s="440"/>
      <c r="AN116" s="435"/>
      <c r="AO116" s="436" t="str">
        <f>Application!B731</f>
        <v>2 Bedrooms</v>
      </c>
      <c r="AQ116" s="436">
        <f>Application!O731</f>
        <v>1932</v>
      </c>
      <c r="AU116" s="752" t="str">
        <f>J123</f>
        <v>1-bedroom</v>
      </c>
      <c r="AV116" s="436">
        <f t="array" ref="AV116">SUM(IF(Application!B726:F760="1 Bedroom",Application!G726:J760))</f>
        <v>42</v>
      </c>
      <c r="AW116" s="900">
        <f>AV116/AV121</f>
        <v>0.42424242424242425</v>
      </c>
    </row>
    <row r="117" spans="1:52" s="436" customFormat="1" ht="12.75" customHeight="1">
      <c r="A117" s="440"/>
      <c r="B117" s="439"/>
      <c r="C117" s="439"/>
      <c r="D117" s="439"/>
      <c r="E117" s="2347"/>
      <c r="F117" s="2348"/>
      <c r="G117" s="2348"/>
      <c r="H117" s="2348"/>
      <c r="I117" s="2348"/>
      <c r="J117" s="2348"/>
      <c r="K117" s="2348"/>
      <c r="L117" s="2348"/>
      <c r="M117" s="2348"/>
      <c r="N117" s="2348"/>
      <c r="O117" s="2348"/>
      <c r="P117" s="2348"/>
      <c r="Q117" s="2348"/>
      <c r="R117" s="2348"/>
      <c r="S117" s="2348"/>
      <c r="T117" s="2348"/>
      <c r="U117" s="2348"/>
      <c r="V117" s="2348"/>
      <c r="W117" s="2348"/>
      <c r="X117" s="2348"/>
      <c r="Y117" s="2348"/>
      <c r="Z117" s="2348"/>
      <c r="AA117" s="2348"/>
      <c r="AB117" s="2348"/>
      <c r="AC117" s="2348"/>
      <c r="AD117" s="2348"/>
      <c r="AE117" s="2348"/>
      <c r="AF117" s="2348"/>
      <c r="AG117" s="2348"/>
      <c r="AH117" s="2348"/>
      <c r="AI117" s="2348"/>
      <c r="AJ117" s="2349"/>
      <c r="AK117" s="440"/>
      <c r="AL117" s="440"/>
      <c r="AM117" s="440"/>
      <c r="AN117" s="435"/>
      <c r="AO117" s="436" t="str">
        <f>Application!B732</f>
        <v>2 Bedrooms</v>
      </c>
      <c r="AQ117" s="436">
        <f>Application!O732</f>
        <v>2257</v>
      </c>
      <c r="AU117" s="752" t="str">
        <f>O123</f>
        <v>2-bedroom</v>
      </c>
      <c r="AV117" s="436">
        <f t="array" ref="AV117">SUM(IF(Application!B726:F760="2 Bedrooms",Application!G726:J760))</f>
        <v>31</v>
      </c>
      <c r="AW117" s="900">
        <f>AV117/AV121</f>
        <v>0.31313131313131315</v>
      </c>
    </row>
    <row r="118" spans="1:52" s="436" customFormat="1" ht="12.75" customHeight="1">
      <c r="A118" s="440"/>
      <c r="B118" s="439"/>
      <c r="C118" s="439"/>
      <c r="D118" s="439"/>
      <c r="E118" s="2347"/>
      <c r="F118" s="2348"/>
      <c r="G118" s="2348"/>
      <c r="H118" s="2348"/>
      <c r="I118" s="2348"/>
      <c r="J118" s="2348"/>
      <c r="K118" s="2348"/>
      <c r="L118" s="2348"/>
      <c r="M118" s="2348"/>
      <c r="N118" s="2348"/>
      <c r="O118" s="2348"/>
      <c r="P118" s="2348"/>
      <c r="Q118" s="2348"/>
      <c r="R118" s="2348"/>
      <c r="S118" s="2348"/>
      <c r="T118" s="2348"/>
      <c r="U118" s="2348"/>
      <c r="V118" s="2348"/>
      <c r="W118" s="2348"/>
      <c r="X118" s="2348"/>
      <c r="Y118" s="2348"/>
      <c r="Z118" s="2348"/>
      <c r="AA118" s="2348"/>
      <c r="AB118" s="2348"/>
      <c r="AC118" s="2348"/>
      <c r="AD118" s="2348"/>
      <c r="AE118" s="2348"/>
      <c r="AF118" s="2348"/>
      <c r="AG118" s="2348"/>
      <c r="AH118" s="2348"/>
      <c r="AI118" s="2348"/>
      <c r="AJ118" s="2349"/>
      <c r="AK118" s="440"/>
      <c r="AL118" s="440"/>
      <c r="AM118" s="440"/>
      <c r="AN118" s="435"/>
      <c r="AO118" s="436" t="str">
        <f>Application!B733</f>
        <v>3 Bedrooms</v>
      </c>
      <c r="AQ118" s="436">
        <f>Application!O733</f>
        <v>1102</v>
      </c>
      <c r="AU118" s="752" t="str">
        <f>T123</f>
        <v>3-bedroom</v>
      </c>
      <c r="AV118" s="436">
        <f t="array" ref="AV118">SUM(IF(Application!B726:F760="3 Bedrooms",Application!G726:J760))</f>
        <v>26</v>
      </c>
      <c r="AW118" s="900">
        <f>AV118/AV121</f>
        <v>0.26262626262626265</v>
      </c>
    </row>
    <row r="119" spans="1:52" s="436" customFormat="1" ht="12.75" customHeight="1">
      <c r="A119" s="440"/>
      <c r="B119" s="439"/>
      <c r="C119" s="439"/>
      <c r="D119" s="439"/>
      <c r="E119" s="2347"/>
      <c r="F119" s="2348"/>
      <c r="G119" s="2348"/>
      <c r="H119" s="2348"/>
      <c r="I119" s="2348"/>
      <c r="J119" s="2348"/>
      <c r="K119" s="2348"/>
      <c r="L119" s="2348"/>
      <c r="M119" s="2348"/>
      <c r="N119" s="2348"/>
      <c r="O119" s="2348"/>
      <c r="P119" s="2348"/>
      <c r="Q119" s="2348"/>
      <c r="R119" s="2348"/>
      <c r="S119" s="2348"/>
      <c r="T119" s="2348"/>
      <c r="U119" s="2348"/>
      <c r="V119" s="2348"/>
      <c r="W119" s="2348"/>
      <c r="X119" s="2348"/>
      <c r="Y119" s="2348"/>
      <c r="Z119" s="2348"/>
      <c r="AA119" s="2348"/>
      <c r="AB119" s="2348"/>
      <c r="AC119" s="2348"/>
      <c r="AD119" s="2348"/>
      <c r="AE119" s="2348"/>
      <c r="AF119" s="2348"/>
      <c r="AG119" s="2348"/>
      <c r="AH119" s="2348"/>
      <c r="AI119" s="2348"/>
      <c r="AJ119" s="2349"/>
      <c r="AK119" s="440"/>
      <c r="AL119" s="440"/>
      <c r="AM119" s="440"/>
      <c r="AN119" s="435"/>
      <c r="AO119" s="436" t="str">
        <f>Application!B734</f>
        <v>3 Bedrooms</v>
      </c>
      <c r="AQ119" s="436">
        <f>Application!O734</f>
        <v>1854</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7"/>
      <c r="F120" s="2348"/>
      <c r="G120" s="2348"/>
      <c r="H120" s="2348"/>
      <c r="I120" s="2348"/>
      <c r="J120" s="2348"/>
      <c r="K120" s="2348"/>
      <c r="L120" s="2348"/>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2348"/>
      <c r="AI120" s="2348"/>
      <c r="AJ120" s="2349"/>
      <c r="AK120" s="440"/>
      <c r="AL120" s="440"/>
      <c r="AM120" s="440"/>
      <c r="AN120" s="435"/>
      <c r="AO120" s="436" t="str">
        <f>Application!B735</f>
        <v>3 Bedrooms</v>
      </c>
      <c r="AQ120" s="436">
        <f>Application!O735</f>
        <v>2230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7"/>
      <c r="F121" s="2348"/>
      <c r="G121" s="2348"/>
      <c r="H121" s="2348"/>
      <c r="I121" s="2348"/>
      <c r="J121" s="2348"/>
      <c r="K121" s="2348"/>
      <c r="L121" s="2348"/>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2348"/>
      <c r="AI121" s="2348"/>
      <c r="AJ121" s="2349"/>
      <c r="AK121" s="440"/>
      <c r="AL121" s="440"/>
      <c r="AM121" s="440"/>
      <c r="AN121" s="435"/>
      <c r="AO121" s="436" t="str">
        <f>Application!B736</f>
        <v>3 Bedrooms</v>
      </c>
      <c r="AQ121" s="436">
        <f>Application!O736</f>
        <v>2397</v>
      </c>
      <c r="AV121" s="436">
        <f>SUM(AV115:AV120)</f>
        <v>99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2 Bedrooms</v>
      </c>
      <c r="AQ122" s="436">
        <f>Application!O737</f>
        <v>955</v>
      </c>
    </row>
    <row r="123" spans="1:52" s="436" customFormat="1" ht="12.75" customHeight="1">
      <c r="A123" s="440"/>
      <c r="B123" s="439"/>
      <c r="C123" s="440"/>
      <c r="D123" s="440"/>
      <c r="E123" s="2340" t="s">
        <v>2210</v>
      </c>
      <c r="F123" s="2341"/>
      <c r="G123" s="2341"/>
      <c r="H123" s="2341"/>
      <c r="I123" s="475"/>
      <c r="J123" s="2341" t="s">
        <v>2211</v>
      </c>
      <c r="K123" s="2341"/>
      <c r="L123" s="2341"/>
      <c r="M123" s="2341"/>
      <c r="N123" s="475"/>
      <c r="O123" s="2341" t="s">
        <v>2212</v>
      </c>
      <c r="P123" s="2341"/>
      <c r="Q123" s="2341"/>
      <c r="R123" s="2341"/>
      <c r="S123" s="475"/>
      <c r="T123" s="2341" t="s">
        <v>2213</v>
      </c>
      <c r="U123" s="2341"/>
      <c r="V123" s="2341"/>
      <c r="W123" s="2341"/>
      <c r="X123" s="475"/>
      <c r="Y123" s="2341" t="s">
        <v>2214</v>
      </c>
      <c r="Z123" s="2341"/>
      <c r="AA123" s="2341"/>
      <c r="AB123" s="2341"/>
      <c r="AC123" s="475"/>
      <c r="AD123" s="2341" t="s">
        <v>2215</v>
      </c>
      <c r="AE123" s="2341"/>
      <c r="AF123" s="2341"/>
      <c r="AG123" s="2341"/>
      <c r="AH123" s="475"/>
      <c r="AI123" s="475"/>
      <c r="AJ123" s="477"/>
      <c r="AK123" s="440"/>
      <c r="AL123" s="440"/>
      <c r="AM123" s="440"/>
      <c r="AN123" s="435"/>
      <c r="AO123" s="436" t="str">
        <f>Application!B738</f>
        <v>3 Bedrooms</v>
      </c>
      <c r="AQ123" s="436">
        <f>Application!O738</f>
        <v>1102</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2216</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7"/>
      <c r="F126" s="2378"/>
      <c r="G126" s="2378"/>
      <c r="H126" s="2378"/>
      <c r="I126" s="759"/>
      <c r="J126" s="2378">
        <v>1337</v>
      </c>
      <c r="K126" s="2378"/>
      <c r="L126" s="2378"/>
      <c r="M126" s="2378"/>
      <c r="N126" s="759"/>
      <c r="O126" s="2378">
        <v>2257</v>
      </c>
      <c r="P126" s="2378"/>
      <c r="Q126" s="2378"/>
      <c r="R126" s="2378"/>
      <c r="S126" s="759"/>
      <c r="T126" s="2378">
        <v>2397</v>
      </c>
      <c r="U126" s="2378"/>
      <c r="V126" s="2378"/>
      <c r="W126" s="2378"/>
      <c r="X126" s="759"/>
      <c r="Y126" s="2378"/>
      <c r="Z126" s="2378"/>
      <c r="AA126" s="2378"/>
      <c r="AB126" s="2378"/>
      <c r="AC126" s="759"/>
      <c r="AD126" s="2378"/>
      <c r="AE126" s="2378"/>
      <c r="AF126" s="2378"/>
      <c r="AG126" s="237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2217</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1">
        <f>Application!DX678</f>
        <v>0</v>
      </c>
      <c r="F129" s="2352"/>
      <c r="G129" s="2352"/>
      <c r="H129" s="2352"/>
      <c r="I129" s="759"/>
      <c r="J129" s="2352">
        <f>Application!EC678</f>
        <v>1014.3809523809523</v>
      </c>
      <c r="K129" s="2352"/>
      <c r="L129" s="2352"/>
      <c r="M129" s="2352"/>
      <c r="N129" s="759"/>
      <c r="O129" s="2352">
        <f>Application!EH678</f>
        <v>1511.6129032258063</v>
      </c>
      <c r="P129" s="2352"/>
      <c r="Q129" s="2352"/>
      <c r="R129" s="2352"/>
      <c r="S129" s="763"/>
      <c r="T129" s="2352">
        <f>Application!EM678</f>
        <v>1719</v>
      </c>
      <c r="U129" s="2352"/>
      <c r="V129" s="2352"/>
      <c r="W129" s="2352"/>
      <c r="X129" s="763"/>
      <c r="Y129" s="2352">
        <f>Application!ER678</f>
        <v>0</v>
      </c>
      <c r="Z129" s="2352"/>
      <c r="AA129" s="2352"/>
      <c r="AB129" s="2352"/>
      <c r="AC129" s="763"/>
      <c r="AD129" s="2352">
        <f>Application!EW678</f>
        <v>0</v>
      </c>
      <c r="AE129" s="2352"/>
      <c r="AF129" s="2352"/>
      <c r="AG129" s="2352"/>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2218</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0" t="e">
        <f>(E126-E129)/E126</f>
        <v>#DIV/0!</v>
      </c>
      <c r="F132" s="2343"/>
      <c r="G132" s="2343"/>
      <c r="H132" s="2551"/>
      <c r="I132" s="475"/>
      <c r="J132" s="2550">
        <f>(J126-J129)/J126</f>
        <v>0.24130070876518153</v>
      </c>
      <c r="K132" s="2343"/>
      <c r="L132" s="2343"/>
      <c r="M132" s="2551"/>
      <c r="N132" s="475"/>
      <c r="O132" s="2550">
        <f>(O126-O129)/O126</f>
        <v>0.33025569196907117</v>
      </c>
      <c r="P132" s="2343"/>
      <c r="Q132" s="2343"/>
      <c r="R132" s="2551"/>
      <c r="S132" s="475"/>
      <c r="T132" s="2550">
        <f>(T126-T129)/T126</f>
        <v>0.2828535669586984</v>
      </c>
      <c r="U132" s="2343"/>
      <c r="V132" s="2343"/>
      <c r="W132" s="2551"/>
      <c r="X132" s="475"/>
      <c r="Y132" s="2550" t="e">
        <f>(Y126-Y129)/Y126</f>
        <v>#DIV/0!</v>
      </c>
      <c r="Z132" s="2343"/>
      <c r="AA132" s="2343"/>
      <c r="AB132" s="2551"/>
      <c r="AC132" s="475"/>
      <c r="AD132" s="2550" t="e">
        <f>(AD126-AD129)/AD126</f>
        <v>#DIV/0!</v>
      </c>
      <c r="AE132" s="2343"/>
      <c r="AF132" s="2343"/>
      <c r="AG132" s="2551"/>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2219</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6" t="e">
        <f>IF(((E132-0.1)*AW115)&gt;0,((E132-0.1)*AW115),0)</f>
        <v>#DIV/0!</v>
      </c>
      <c r="F135" s="2367"/>
      <c r="G135" s="2367"/>
      <c r="H135" s="2368"/>
      <c r="I135" s="475"/>
      <c r="J135" s="2366">
        <f>IF(((J132-0.1)*AW116)&gt;0,((J132-0.1)*AW116),0)</f>
        <v>5.9945755233713378E-2</v>
      </c>
      <c r="K135" s="2367"/>
      <c r="L135" s="2367"/>
      <c r="M135" s="2368"/>
      <c r="N135" s="475"/>
      <c r="O135" s="2366">
        <f>IF(((O132-0.1)*AW117)&gt;0,((O132-0.1)*AW117),0)</f>
        <v>7.2100267182234404E-2</v>
      </c>
      <c r="P135" s="2367"/>
      <c r="Q135" s="2367"/>
      <c r="R135" s="2368"/>
      <c r="S135" s="475"/>
      <c r="T135" s="2366">
        <f>IF(((T132-0.1)*AW118)&gt;0,((T132-0.1)*AW118),0)</f>
        <v>4.8022148898244028E-2</v>
      </c>
      <c r="U135" s="2367"/>
      <c r="V135" s="2367"/>
      <c r="W135" s="2368"/>
      <c r="X135" s="475"/>
      <c r="Y135" s="2366" t="e">
        <f>IF(((Y132-0.1)*AW119)&gt;0,((Y132-0.1)*AW119),0)</f>
        <v>#DIV/0!</v>
      </c>
      <c r="Z135" s="2367"/>
      <c r="AA135" s="2367"/>
      <c r="AB135" s="2368"/>
      <c r="AC135" s="475"/>
      <c r="AD135" s="2366" t="e">
        <f>IF(((AD132-0.1)*AW120)&gt;0,((AD132-0.1)*AW120),0)</f>
        <v>#DIV/0!</v>
      </c>
      <c r="AE135" s="2367"/>
      <c r="AF135" s="2367"/>
      <c r="AG135" s="2368"/>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0">
        <f>ROUNDDOWN(SUMIF(E135:AG135,"&gt;0"),2)</f>
        <v>0.18</v>
      </c>
      <c r="F137" s="2343"/>
      <c r="G137" s="2343"/>
      <c r="H137" s="2551"/>
      <c r="I137" s="475"/>
      <c r="J137" s="478" t="s">
        <v>2220</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7">
        <f>IF((E137*100)&gt;10,10,E137*100)</f>
        <v>10</v>
      </c>
      <c r="F138" s="2358"/>
      <c r="G138" s="2358"/>
      <c r="H138" s="2359"/>
      <c r="I138" s="475"/>
      <c r="J138" s="478" t="s">
        <v>2200</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2221</v>
      </c>
      <c r="AK142" s="2357">
        <f>E138</f>
        <v>10</v>
      </c>
      <c r="AL142" s="2358"/>
      <c r="AM142" s="2359"/>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2222</v>
      </c>
      <c r="AE145" s="2346" t="s">
        <v>2179</v>
      </c>
      <c r="AF145" s="2346"/>
      <c r="AG145" s="2346"/>
      <c r="AH145" s="2346"/>
      <c r="AI145" s="2346"/>
      <c r="AJ145" s="2346"/>
      <c r="AK145" s="2346"/>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2223</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79" t="s">
        <v>2224</v>
      </c>
      <c r="AG147" s="2379"/>
      <c r="AH147" s="2379"/>
      <c r="AI147" s="2379"/>
      <c r="AJ147" s="2379"/>
      <c r="AK147" s="2379"/>
      <c r="AL147" s="2379"/>
      <c r="AM147" s="439"/>
      <c r="AN147" s="435"/>
    </row>
    <row r="148" spans="1:42" s="436" customFormat="1" ht="12.75" customHeight="1">
      <c r="A148" s="438"/>
      <c r="B148" s="438" t="s">
        <v>1100</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89" t="s">
        <v>1101</v>
      </c>
      <c r="C149" s="2389"/>
      <c r="D149" s="2389"/>
      <c r="E149" s="2389"/>
      <c r="F149" s="2389"/>
      <c r="G149" s="2389"/>
      <c r="H149" s="2389"/>
      <c r="I149" s="2389"/>
      <c r="J149" s="2389"/>
      <c r="K149" s="2389"/>
      <c r="L149" s="2389"/>
      <c r="M149" s="2389"/>
      <c r="N149" s="2389"/>
      <c r="O149" s="2389"/>
      <c r="P149" s="2389"/>
      <c r="Q149" s="2389"/>
      <c r="R149" s="2389"/>
      <c r="S149" s="2389"/>
      <c r="T149" s="2389"/>
      <c r="U149" s="2389"/>
      <c r="V149" s="2389"/>
      <c r="W149" s="2389"/>
      <c r="X149" s="2389"/>
      <c r="Y149" s="2389"/>
      <c r="Z149" s="2389"/>
      <c r="AA149" s="2389"/>
      <c r="AB149" s="2389"/>
      <c r="AC149" s="2389"/>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472</v>
      </c>
      <c r="AP150" s="444"/>
    </row>
    <row r="151" spans="1:42" s="436" customFormat="1" ht="12.75" customHeight="1">
      <c r="A151" s="438"/>
      <c r="B151" s="439" t="s">
        <v>2225</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2226</v>
      </c>
      <c r="AP151" s="390">
        <v>5</v>
      </c>
    </row>
    <row r="152" spans="1:42" s="436" customFormat="1" ht="12.75" customHeight="1">
      <c r="A152" s="438"/>
      <c r="B152" s="2390" t="s">
        <v>2227</v>
      </c>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2390"/>
      <c r="AG152" s="2390"/>
      <c r="AH152" s="2390"/>
      <c r="AI152" s="2390"/>
      <c r="AM152" s="439"/>
      <c r="AN152" s="435"/>
      <c r="AO152" s="377" t="s">
        <v>2227</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2228</v>
      </c>
      <c r="AP153" s="390">
        <v>7</v>
      </c>
    </row>
    <row r="154" spans="1:42" s="436" customFormat="1" ht="12.75" customHeight="1">
      <c r="A154" s="438"/>
      <c r="B154" s="439" t="s">
        <v>2229</v>
      </c>
      <c r="AB154" s="2391" t="s">
        <v>826</v>
      </c>
      <c r="AC154" s="2391"/>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2230</v>
      </c>
      <c r="AP155" s="390"/>
    </row>
    <row r="156" spans="1:42" s="436" customFormat="1" ht="12.75" customHeight="1">
      <c r="A156" s="438"/>
      <c r="B156" s="438" t="s">
        <v>2231</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2232</v>
      </c>
      <c r="AP156" s="390">
        <v>5</v>
      </c>
    </row>
    <row r="157" spans="1:42" s="436" customFormat="1" ht="12.75" customHeight="1">
      <c r="A157" s="438"/>
      <c r="B157" s="2390" t="s">
        <v>2230</v>
      </c>
      <c r="C157" s="2390"/>
      <c r="D157" s="2390"/>
      <c r="E157" s="2390"/>
      <c r="F157" s="2390"/>
      <c r="G157" s="2390"/>
      <c r="H157" s="2390"/>
      <c r="I157" s="2390"/>
      <c r="J157" s="2390"/>
      <c r="K157" s="2390"/>
      <c r="L157" s="2390"/>
      <c r="M157" s="2390"/>
      <c r="N157" s="2390"/>
      <c r="O157" s="2390"/>
      <c r="P157" s="2390"/>
      <c r="Q157" s="2390"/>
      <c r="R157" s="2390"/>
      <c r="S157" s="2390"/>
      <c r="T157" s="2390"/>
      <c r="U157" s="2390"/>
      <c r="V157" s="2390"/>
      <c r="W157" s="2390"/>
      <c r="X157" s="2390"/>
      <c r="Y157" s="2390"/>
      <c r="Z157" s="2390"/>
      <c r="AA157" s="2390"/>
      <c r="AB157" s="2390"/>
      <c r="AC157" s="2390"/>
      <c r="AD157" s="2390"/>
      <c r="AE157" s="2390"/>
      <c r="AF157" s="2390"/>
      <c r="AG157" s="2390"/>
      <c r="AH157" s="2390"/>
      <c r="AI157" s="2390"/>
      <c r="AJ157" s="2390"/>
      <c r="AN157" s="435"/>
      <c r="AO157" s="377" t="s">
        <v>2233</v>
      </c>
      <c r="AP157" s="390">
        <v>7</v>
      </c>
    </row>
    <row r="158" spans="1:42" s="436" customFormat="1" ht="12.75" customHeight="1">
      <c r="B158" s="439" t="s">
        <v>2234</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5" t="s">
        <v>2235</v>
      </c>
      <c r="C160" s="2555"/>
      <c r="D160" s="2555"/>
      <c r="E160" s="2555"/>
      <c r="F160" s="2555"/>
      <c r="G160" s="2555"/>
      <c r="H160" s="2555"/>
      <c r="I160" s="2555"/>
      <c r="J160" s="2555"/>
      <c r="K160" s="2555"/>
      <c r="L160" s="2555"/>
      <c r="M160" s="2555"/>
      <c r="N160" s="2555"/>
      <c r="O160" s="2555"/>
      <c r="P160" s="2555"/>
      <c r="Q160" s="2555"/>
      <c r="R160" s="2555"/>
      <c r="S160" s="2555"/>
      <c r="T160" s="2555"/>
      <c r="U160" s="2555"/>
      <c r="V160" s="2555"/>
      <c r="W160" s="2555"/>
      <c r="X160" s="2555"/>
      <c r="Y160" s="2555"/>
      <c r="Z160" s="2555"/>
      <c r="AA160" s="2555"/>
      <c r="AB160" s="2555"/>
      <c r="AC160" s="2555"/>
      <c r="AD160" s="2555"/>
      <c r="AE160" s="2555"/>
      <c r="AF160" s="2555"/>
      <c r="AG160" s="2555"/>
      <c r="AH160" s="2555"/>
      <c r="AI160" s="2555"/>
      <c r="AJ160" s="2555"/>
      <c r="AK160" s="1062"/>
      <c r="AM160" s="439"/>
      <c r="AN160" s="435"/>
      <c r="AO160" s="377"/>
      <c r="AP160" s="390"/>
    </row>
    <row r="161" spans="1:42" s="436" customFormat="1" ht="12.75" customHeight="1">
      <c r="B161" s="2555"/>
      <c r="C161" s="2555"/>
      <c r="D161" s="2555"/>
      <c r="E161" s="2555"/>
      <c r="F161" s="2555"/>
      <c r="G161" s="2555"/>
      <c r="H161" s="2555"/>
      <c r="I161" s="2555"/>
      <c r="J161" s="2555"/>
      <c r="K161" s="2555"/>
      <c r="L161" s="2555"/>
      <c r="M161" s="2555"/>
      <c r="N161" s="2555"/>
      <c r="O161" s="2555"/>
      <c r="P161" s="2555"/>
      <c r="Q161" s="2555"/>
      <c r="R161" s="2555"/>
      <c r="S161" s="2555"/>
      <c r="T161" s="2555"/>
      <c r="U161" s="2555"/>
      <c r="V161" s="2555"/>
      <c r="W161" s="2555"/>
      <c r="X161" s="2555"/>
      <c r="Y161" s="2555"/>
      <c r="Z161" s="2555"/>
      <c r="AA161" s="2555"/>
      <c r="AB161" s="2555"/>
      <c r="AC161" s="2555"/>
      <c r="AD161" s="2555"/>
      <c r="AE161" s="2555"/>
      <c r="AF161" s="2555"/>
      <c r="AG161" s="2555"/>
      <c r="AH161" s="2555"/>
      <c r="AI161" s="2555"/>
      <c r="AJ161" s="2555"/>
      <c r="AK161" s="1062"/>
      <c r="AM161" s="439"/>
      <c r="AN161" s="435"/>
      <c r="AO161" s="377"/>
      <c r="AP161" s="390"/>
    </row>
    <row r="162" spans="1:42" s="436" customFormat="1" ht="12.75" customHeight="1">
      <c r="C162" s="2466" t="s">
        <v>2236</v>
      </c>
      <c r="D162" s="2466"/>
      <c r="E162" s="2466"/>
      <c r="F162" s="2466"/>
      <c r="G162" s="2466"/>
      <c r="H162" s="2466"/>
      <c r="I162" s="2466"/>
      <c r="J162" s="2466"/>
      <c r="K162" s="2466"/>
      <c r="L162" s="2466"/>
      <c r="M162" s="2466"/>
      <c r="N162" s="2466"/>
      <c r="O162" s="2466"/>
      <c r="P162" s="2466"/>
      <c r="Q162" s="2466"/>
      <c r="R162" s="2466"/>
      <c r="S162" s="2466"/>
      <c r="T162" s="2466"/>
      <c r="U162" s="2466"/>
      <c r="V162" s="2466"/>
      <c r="W162" s="2466"/>
      <c r="X162" s="2466"/>
      <c r="Y162" s="2466"/>
      <c r="Z162" s="2466"/>
      <c r="AA162" s="2466"/>
      <c r="AB162" s="2466"/>
      <c r="AC162" s="2466"/>
      <c r="AD162" s="2466"/>
      <c r="AE162" s="2466"/>
      <c r="AF162" s="2466"/>
      <c r="AG162" s="2466"/>
      <c r="AH162" s="2466"/>
      <c r="AI162" s="2466"/>
      <c r="AJ162" s="2466"/>
      <c r="AK162" s="1062"/>
      <c r="AM162" s="439"/>
      <c r="AN162" s="435"/>
      <c r="AO162" s="377"/>
      <c r="AP162" s="390"/>
    </row>
    <row r="163" spans="1:42" s="436" customFormat="1" ht="12.75" customHeight="1">
      <c r="B163" s="1062"/>
      <c r="C163" s="2388" t="s">
        <v>2237</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1052"/>
      <c r="AB163" s="1052"/>
      <c r="AC163" s="1052"/>
      <c r="AD163" s="1052"/>
      <c r="AE163" s="1052"/>
      <c r="AF163" s="1052"/>
      <c r="AG163" s="1052"/>
      <c r="AH163" s="1052"/>
      <c r="AJ163" s="2391" t="s">
        <v>826</v>
      </c>
      <c r="AK163" s="2391"/>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2238</v>
      </c>
      <c r="AJ165" s="2394">
        <f>IF($AB$154="N/A",VLOOKUP($B$152,$AO$150:$AP$153,2,FALSE),VLOOKUP($B$157,$AO$155:$AP$157,2,FALSE))</f>
        <v>7</v>
      </c>
      <c r="AK165" s="2394"/>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2239</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79" t="s">
        <v>2240</v>
      </c>
      <c r="AG167" s="2379"/>
      <c r="AH167" s="2379"/>
      <c r="AI167" s="2379"/>
      <c r="AJ167" s="2379"/>
      <c r="AK167" s="2379"/>
      <c r="AL167" s="2379"/>
      <c r="AM167" s="501"/>
      <c r="AN167" s="496"/>
    </row>
    <row r="168" spans="1:42" s="449" customFormat="1" ht="12.75" customHeight="1">
      <c r="A168" s="436"/>
      <c r="B168" s="439" t="s">
        <v>2241</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0" t="s">
        <v>2242</v>
      </c>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436"/>
      <c r="AK169" s="436"/>
      <c r="AL169" s="436"/>
      <c r="AM169" s="501"/>
      <c r="AN169" s="495"/>
      <c r="AO169" s="377" t="s">
        <v>472</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2243</v>
      </c>
      <c r="AP170" s="497">
        <v>2</v>
      </c>
    </row>
    <row r="171" spans="1:42" s="449" customFormat="1" ht="12.75" customHeight="1">
      <c r="A171" s="436"/>
      <c r="B171" s="436"/>
      <c r="C171" s="439" t="s">
        <v>2244</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1" t="s">
        <v>826</v>
      </c>
      <c r="AG171" s="2391"/>
      <c r="AH171" s="436"/>
      <c r="AI171" s="436"/>
      <c r="AJ171" s="436"/>
      <c r="AK171" s="436"/>
      <c r="AL171" s="436"/>
      <c r="AM171" s="501"/>
      <c r="AN171" s="495"/>
      <c r="AO171" s="377" t="s">
        <v>2242</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2245</v>
      </c>
      <c r="AP172" s="497">
        <v>3</v>
      </c>
    </row>
    <row r="173" spans="1:42" s="449" customFormat="1" ht="12.75" customHeight="1">
      <c r="A173" s="436"/>
      <c r="B173" s="436"/>
      <c r="C173" s="2390" t="s">
        <v>2230</v>
      </c>
      <c r="D173" s="2390"/>
      <c r="E173" s="2390"/>
      <c r="F173" s="2390"/>
      <c r="G173" s="2390"/>
      <c r="H173" s="2390"/>
      <c r="I173" s="2390"/>
      <c r="J173" s="2390"/>
      <c r="K173" s="2390"/>
      <c r="L173" s="2390"/>
      <c r="M173" s="2390"/>
      <c r="N173" s="2390"/>
      <c r="O173" s="2390"/>
      <c r="P173" s="2390"/>
      <c r="Q173" s="2390"/>
      <c r="R173" s="2390"/>
      <c r="S173" s="2390"/>
      <c r="T173" s="2390"/>
      <c r="U173" s="2390"/>
      <c r="V173" s="2390"/>
      <c r="W173" s="2390"/>
      <c r="X173" s="2390"/>
      <c r="Y173" s="2390"/>
      <c r="Z173" s="2390"/>
      <c r="AA173" s="2390"/>
      <c r="AB173" s="2390"/>
      <c r="AC173" s="2390"/>
      <c r="AD173" s="2390"/>
      <c r="AE173" s="436"/>
      <c r="AF173" s="436"/>
      <c r="AG173" s="436"/>
      <c r="AH173" s="436"/>
      <c r="AI173" s="436"/>
      <c r="AJ173" s="436"/>
      <c r="AK173" s="436"/>
      <c r="AL173" s="436"/>
      <c r="AM173" s="501"/>
      <c r="AN173" s="495"/>
      <c r="AO173" s="500"/>
      <c r="AP173" s="497"/>
    </row>
    <row r="174" spans="1:42" s="449" customFormat="1" ht="12.75" customHeight="1">
      <c r="A174" s="436"/>
      <c r="B174" s="436"/>
      <c r="C174" s="439" t="s">
        <v>2234</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2246</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2230</v>
      </c>
      <c r="AP176" s="377"/>
    </row>
    <row r="177" spans="1:73" s="449" customFormat="1" ht="12.75" customHeight="1">
      <c r="A177" s="436"/>
      <c r="B177" s="436"/>
      <c r="C177" s="2392" t="str">
        <f>Application!AA344</f>
        <v>EAH Inc.</v>
      </c>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c r="Z177" s="2392"/>
      <c r="AA177" s="2392"/>
      <c r="AB177" s="2392"/>
      <c r="AC177" s="2392"/>
      <c r="AD177" s="2392"/>
      <c r="AE177" s="436"/>
      <c r="AF177" s="436"/>
      <c r="AG177" s="436"/>
      <c r="AH177" s="436"/>
      <c r="AI177" s="436"/>
      <c r="AJ177" s="436"/>
      <c r="AK177" s="436"/>
      <c r="AL177" s="436"/>
      <c r="AM177" s="501"/>
      <c r="AN177" s="495"/>
      <c r="AO177" s="377" t="s">
        <v>2247</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2248</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2249</v>
      </c>
      <c r="AJ179" s="2393">
        <f>IF($AF$171="N/A",VLOOKUP($C$169,$AO$169:$AP$172,2,FALSE),VLOOKUP($C$173,$AO$176:$AP$178,2,FALSE))</f>
        <v>3</v>
      </c>
      <c r="AK179" s="2393"/>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2250</v>
      </c>
      <c r="AK182" s="2357">
        <f>$AJ$165+$AJ$179</f>
        <v>10</v>
      </c>
      <c r="AL182" s="2358"/>
      <c r="AM182" s="2359"/>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2251</v>
      </c>
      <c r="AQ184" s="510">
        <v>0</v>
      </c>
    </row>
    <row r="185" spans="1:73" s="449" customFormat="1" ht="12.75" customHeight="1">
      <c r="A185" s="438" t="s">
        <v>2252</v>
      </c>
      <c r="B185" s="438" t="s">
        <v>2253</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6" t="s">
        <v>2179</v>
      </c>
      <c r="AF185" s="2346"/>
      <c r="AG185" s="2346"/>
      <c r="AH185" s="2346"/>
      <c r="AI185" s="2346"/>
      <c r="AJ185" s="2346"/>
      <c r="AK185" s="2346"/>
      <c r="AL185" s="489"/>
      <c r="AN185" s="495"/>
      <c r="AP185" s="449" t="s">
        <v>954</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2254</v>
      </c>
      <c r="AQ186" s="449">
        <v>10</v>
      </c>
    </row>
    <row r="187" spans="1:73" s="449" customFormat="1" ht="12.75" customHeight="1">
      <c r="A187" s="436"/>
      <c r="B187" s="2387" t="s">
        <v>954</v>
      </c>
      <c r="C187" s="2387"/>
      <c r="D187" s="2387"/>
      <c r="E187" s="2387"/>
      <c r="F187" s="2387"/>
      <c r="G187" s="2387"/>
      <c r="H187" s="2387"/>
      <c r="I187" s="2387"/>
      <c r="J187" s="2387"/>
      <c r="K187" s="2387"/>
      <c r="L187" s="2387"/>
      <c r="M187" s="2387"/>
      <c r="N187" s="2387"/>
      <c r="O187" s="2387"/>
      <c r="P187" s="2387"/>
      <c r="Q187" s="2387"/>
      <c r="R187" s="2387"/>
      <c r="S187" s="2387"/>
      <c r="T187" s="2387"/>
      <c r="U187" s="2387"/>
      <c r="V187" s="2387"/>
      <c r="W187" s="2387"/>
      <c r="X187" s="2387"/>
      <c r="Y187" s="2387"/>
      <c r="Z187" s="2387"/>
      <c r="AA187" s="2387"/>
      <c r="AB187" s="2387"/>
      <c r="AC187" s="2387"/>
      <c r="AD187" s="436"/>
      <c r="AE187" s="436"/>
      <c r="AF187" s="2379" t="s">
        <v>2255</v>
      </c>
      <c r="AG187" s="2379"/>
      <c r="AH187" s="2379"/>
      <c r="AI187" s="2379"/>
      <c r="AJ187" s="2379"/>
      <c r="AK187" s="2379"/>
      <c r="AL187" s="2379"/>
      <c r="AN187" s="495"/>
      <c r="AP187" s="449" t="s">
        <v>962</v>
      </c>
      <c r="AQ187" s="449">
        <v>10</v>
      </c>
    </row>
    <row r="188" spans="1:73" s="449" customFormat="1" ht="12.75" customHeight="1">
      <c r="A188" s="436"/>
      <c r="B188" s="2388" t="s">
        <v>2256</v>
      </c>
      <c r="C188" s="2388"/>
      <c r="D188" s="2388"/>
      <c r="E188" s="2388"/>
      <c r="F188" s="2388"/>
      <c r="G188" s="2388"/>
      <c r="H188" s="2388"/>
      <c r="I188" s="2388"/>
      <c r="J188" s="2388"/>
      <c r="K188" s="2388"/>
      <c r="L188" s="2388"/>
      <c r="M188" s="2388"/>
      <c r="N188" s="2388"/>
      <c r="O188" s="2388"/>
      <c r="P188" s="2388"/>
      <c r="Q188" s="2388"/>
      <c r="R188" s="2388"/>
      <c r="S188" s="2388"/>
      <c r="T188" s="2389" t="s">
        <v>826</v>
      </c>
      <c r="U188" s="2389"/>
      <c r="V188" s="2389"/>
      <c r="W188" s="2389"/>
      <c r="X188" s="2389"/>
      <c r="Y188" s="2389"/>
      <c r="Z188" s="2389"/>
      <c r="AA188" s="2389"/>
      <c r="AB188" s="2389"/>
      <c r="AC188" s="2389"/>
      <c r="AD188" s="436"/>
      <c r="AE188" s="436"/>
      <c r="AF188" s="436"/>
      <c r="AG188" s="436"/>
      <c r="AH188" s="436"/>
      <c r="AI188" s="436"/>
      <c r="AJ188" s="443"/>
      <c r="AK188" s="493"/>
      <c r="AL188" s="493"/>
      <c r="AM188" s="493"/>
      <c r="AN188" s="495"/>
      <c r="AP188" s="449" t="s">
        <v>963</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2257</v>
      </c>
      <c r="AQ189" s="449">
        <v>10</v>
      </c>
      <c r="AS189" s="449" t="s">
        <v>2258</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2259</v>
      </c>
      <c r="AK190" s="2404">
        <f>IF(AK83&gt;0,VLOOKUP($B$187,AP184:AQ190,2,FALSE),0)</f>
        <v>10</v>
      </c>
      <c r="AL190" s="2405"/>
      <c r="AM190" s="2406"/>
      <c r="AN190" s="435"/>
      <c r="AP190" s="449" t="s">
        <v>2260</v>
      </c>
      <c r="AQ190" s="449">
        <v>10</v>
      </c>
      <c r="AS190" s="449" t="s">
        <v>2261</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2262</v>
      </c>
      <c r="B193" s="438" t="s">
        <v>2263</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6" t="s">
        <v>2264</v>
      </c>
      <c r="AF193" s="2346"/>
      <c r="AG193" s="2346"/>
      <c r="AH193" s="2346"/>
      <c r="AI193" s="2346"/>
      <c r="AJ193" s="2346"/>
      <c r="AK193" s="2346"/>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2265</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2266</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1"/>
      <c r="C198" s="2381"/>
      <c r="D198" s="2381"/>
      <c r="E198" s="2381"/>
      <c r="F198" s="2381"/>
      <c r="G198" s="2381"/>
      <c r="H198" s="2381"/>
      <c r="I198" s="2381"/>
      <c r="J198" s="2381"/>
      <c r="K198" s="2381"/>
      <c r="L198" s="2381"/>
      <c r="M198" s="2381"/>
      <c r="N198" s="2381"/>
      <c r="O198" s="2381"/>
      <c r="P198" s="2381"/>
      <c r="Q198" s="2381"/>
      <c r="R198" s="2381"/>
      <c r="S198" s="2381"/>
      <c r="T198" s="2381"/>
      <c r="U198" s="2381"/>
      <c r="V198" s="2381"/>
      <c r="W198" s="2381"/>
      <c r="X198" s="2381"/>
      <c r="Y198" s="2381"/>
      <c r="Z198" s="2381"/>
      <c r="AA198" s="2381"/>
      <c r="AB198" s="2381"/>
      <c r="AC198" s="742"/>
      <c r="AD198" s="2382"/>
      <c r="AE198" s="2382"/>
      <c r="AF198" s="2382"/>
      <c r="AG198" s="2382"/>
      <c r="AH198" s="2382"/>
      <c r="AI198" s="2382"/>
      <c r="AJ198" s="2382"/>
      <c r="AK198" s="508"/>
    </row>
    <row r="199" spans="1:37" hidden="1">
      <c r="A199" s="503"/>
      <c r="B199" s="2381"/>
      <c r="C199" s="2381"/>
      <c r="D199" s="2381"/>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C199" s="742"/>
      <c r="AD199" s="2382"/>
      <c r="AE199" s="2382"/>
      <c r="AF199" s="2382"/>
      <c r="AG199" s="2382"/>
      <c r="AH199" s="2382"/>
      <c r="AI199" s="2382"/>
      <c r="AJ199" s="2382"/>
      <c r="AK199" s="508"/>
    </row>
    <row r="200" spans="1:37" hidden="1">
      <c r="A200" s="503"/>
      <c r="B200" s="2381"/>
      <c r="C200" s="2381"/>
      <c r="D200" s="2381"/>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C200" s="742"/>
      <c r="AD200" s="2382"/>
      <c r="AE200" s="2382"/>
      <c r="AF200" s="2382"/>
      <c r="AG200" s="2382"/>
      <c r="AH200" s="2382"/>
      <c r="AI200" s="2382"/>
      <c r="AJ200" s="2382"/>
      <c r="AK200" s="508"/>
    </row>
    <row r="201" spans="1:37" hidden="1">
      <c r="A201" s="503"/>
      <c r="B201" s="2381"/>
      <c r="C201" s="2381"/>
      <c r="D201" s="2381"/>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742"/>
      <c r="AD201" s="2382"/>
      <c r="AE201" s="2382"/>
      <c r="AF201" s="2382"/>
      <c r="AG201" s="2382"/>
      <c r="AH201" s="2382"/>
      <c r="AI201" s="2382"/>
      <c r="AJ201" s="2382"/>
      <c r="AK201" s="508"/>
    </row>
    <row r="202" spans="1:37" hidden="1">
      <c r="A202" s="503"/>
      <c r="B202" s="2381"/>
      <c r="C202" s="2381"/>
      <c r="D202" s="2381"/>
      <c r="E202" s="2381"/>
      <c r="F202" s="2381"/>
      <c r="G202" s="2381"/>
      <c r="H202" s="2381"/>
      <c r="I202" s="2381"/>
      <c r="J202" s="2381"/>
      <c r="K202" s="2381"/>
      <c r="L202" s="2381"/>
      <c r="M202" s="2381"/>
      <c r="N202" s="2381"/>
      <c r="O202" s="2381"/>
      <c r="P202" s="2381"/>
      <c r="Q202" s="2381"/>
      <c r="R202" s="2381"/>
      <c r="S202" s="2381"/>
      <c r="T202" s="2381"/>
      <c r="U202" s="2381"/>
      <c r="V202" s="2381"/>
      <c r="W202" s="2381"/>
      <c r="X202" s="2381"/>
      <c r="Y202" s="2381"/>
      <c r="Z202" s="2381"/>
      <c r="AA202" s="2381"/>
      <c r="AB202" s="2381"/>
      <c r="AC202" s="742"/>
      <c r="AD202" s="2382"/>
      <c r="AE202" s="2382"/>
      <c r="AF202" s="2382"/>
      <c r="AG202" s="2382"/>
      <c r="AH202" s="2382"/>
      <c r="AI202" s="2382"/>
      <c r="AJ202" s="2382"/>
      <c r="AK202" s="508"/>
    </row>
    <row r="203" spans="1:37" hidden="1">
      <c r="A203" s="503"/>
      <c r="B203" s="2381"/>
      <c r="C203" s="2381"/>
      <c r="D203" s="2381"/>
      <c r="E203" s="2381"/>
      <c r="F203" s="2381"/>
      <c r="G203" s="2381"/>
      <c r="H203" s="2381"/>
      <c r="I203" s="2381"/>
      <c r="J203" s="2381"/>
      <c r="K203" s="2381"/>
      <c r="L203" s="2381"/>
      <c r="M203" s="2381"/>
      <c r="N203" s="2381"/>
      <c r="O203" s="2381"/>
      <c r="P203" s="2381"/>
      <c r="Q203" s="2381"/>
      <c r="R203" s="2381"/>
      <c r="S203" s="2381"/>
      <c r="T203" s="2381"/>
      <c r="U203" s="2381"/>
      <c r="V203" s="2381"/>
      <c r="W203" s="2381"/>
      <c r="X203" s="2381"/>
      <c r="Y203" s="2381"/>
      <c r="Z203" s="2381"/>
      <c r="AA203" s="2381"/>
      <c r="AB203" s="2381"/>
      <c r="AC203" s="742"/>
      <c r="AD203" s="2382"/>
      <c r="AE203" s="2382"/>
      <c r="AF203" s="2382"/>
      <c r="AG203" s="2382"/>
      <c r="AH203" s="2382"/>
      <c r="AI203" s="2382"/>
      <c r="AJ203" s="2382"/>
      <c r="AK203" s="508"/>
    </row>
    <row r="204" spans="1:37" hidden="1">
      <c r="A204" s="503"/>
      <c r="B204" s="2381"/>
      <c r="C204" s="2381"/>
      <c r="D204" s="2381"/>
      <c r="E204" s="2381"/>
      <c r="F204" s="2381"/>
      <c r="G204" s="2381"/>
      <c r="H204" s="2381"/>
      <c r="I204" s="2381"/>
      <c r="J204" s="2381"/>
      <c r="K204" s="2381"/>
      <c r="L204" s="2381"/>
      <c r="M204" s="2381"/>
      <c r="N204" s="2381"/>
      <c r="O204" s="2381"/>
      <c r="P204" s="2381"/>
      <c r="Q204" s="2381"/>
      <c r="R204" s="2381"/>
      <c r="S204" s="2381"/>
      <c r="T204" s="2381"/>
      <c r="U204" s="2381"/>
      <c r="V204" s="2381"/>
      <c r="W204" s="2381"/>
      <c r="X204" s="2381"/>
      <c r="Y204" s="2381"/>
      <c r="Z204" s="2381"/>
      <c r="AA204" s="2381"/>
      <c r="AB204" s="2381"/>
      <c r="AC204" s="742"/>
      <c r="AD204" s="2382"/>
      <c r="AE204" s="2382"/>
      <c r="AF204" s="2382"/>
      <c r="AG204" s="2382"/>
      <c r="AH204" s="2382"/>
      <c r="AI204" s="2382"/>
      <c r="AJ204" s="2382"/>
      <c r="AK204" s="508"/>
    </row>
    <row r="205" spans="1:37" hidden="1">
      <c r="A205" s="503"/>
      <c r="B205" s="2381"/>
      <c r="C205" s="2381"/>
      <c r="D205" s="2381"/>
      <c r="E205" s="2381"/>
      <c r="F205" s="2381"/>
      <c r="G205" s="2381"/>
      <c r="H205" s="2381"/>
      <c r="I205" s="2381"/>
      <c r="J205" s="2381"/>
      <c r="K205" s="2381"/>
      <c r="L205" s="2381"/>
      <c r="M205" s="2381"/>
      <c r="N205" s="2381"/>
      <c r="O205" s="2381"/>
      <c r="P205" s="2381"/>
      <c r="Q205" s="2381"/>
      <c r="R205" s="2381"/>
      <c r="S205" s="2381"/>
      <c r="T205" s="2381"/>
      <c r="U205" s="2381"/>
      <c r="V205" s="2381"/>
      <c r="W205" s="2381"/>
      <c r="X205" s="2381"/>
      <c r="Y205" s="2381"/>
      <c r="Z205" s="2381"/>
      <c r="AA205" s="2381"/>
      <c r="AB205" s="2381"/>
      <c r="AC205" s="742"/>
      <c r="AD205" s="2382"/>
      <c r="AE205" s="2382"/>
      <c r="AF205" s="2382"/>
      <c r="AG205" s="2382"/>
      <c r="AH205" s="2382"/>
      <c r="AI205" s="2382"/>
      <c r="AJ205" s="2382"/>
      <c r="AK205" s="508"/>
    </row>
    <row r="206" spans="1:37" hidden="1">
      <c r="A206" s="503"/>
      <c r="B206" s="2381"/>
      <c r="C206" s="2381"/>
      <c r="D206" s="2381"/>
      <c r="E206" s="2381"/>
      <c r="F206" s="2381"/>
      <c r="G206" s="2381"/>
      <c r="H206" s="2381"/>
      <c r="I206" s="2381"/>
      <c r="J206" s="2381"/>
      <c r="K206" s="2381"/>
      <c r="L206" s="2381"/>
      <c r="M206" s="2381"/>
      <c r="N206" s="2381"/>
      <c r="O206" s="2381"/>
      <c r="P206" s="2381"/>
      <c r="Q206" s="2381"/>
      <c r="R206" s="2381"/>
      <c r="S206" s="2381"/>
      <c r="T206" s="2381"/>
      <c r="U206" s="2381"/>
      <c r="V206" s="2381"/>
      <c r="W206" s="2381"/>
      <c r="X206" s="2381"/>
      <c r="Y206" s="2381"/>
      <c r="Z206" s="2381"/>
      <c r="AA206" s="2381"/>
      <c r="AB206" s="2381"/>
      <c r="AC206" s="742"/>
      <c r="AD206" s="2382"/>
      <c r="AE206" s="2382"/>
      <c r="AF206" s="2382"/>
      <c r="AG206" s="2382"/>
      <c r="AH206" s="2382"/>
      <c r="AI206" s="2382"/>
      <c r="AJ206" s="2382"/>
      <c r="AK206" s="508"/>
    </row>
    <row r="207" spans="1:37" hidden="1">
      <c r="A207" s="503"/>
      <c r="B207" s="2381"/>
      <c r="C207" s="2381"/>
      <c r="D207" s="2381"/>
      <c r="E207" s="2381"/>
      <c r="F207" s="2381"/>
      <c r="G207" s="2381"/>
      <c r="H207" s="2381"/>
      <c r="I207" s="2381"/>
      <c r="J207" s="2381"/>
      <c r="K207" s="2381"/>
      <c r="L207" s="2381"/>
      <c r="M207" s="2381"/>
      <c r="N207" s="2381"/>
      <c r="O207" s="2381"/>
      <c r="P207" s="2381"/>
      <c r="Q207" s="2381"/>
      <c r="R207" s="2381"/>
      <c r="S207" s="2381"/>
      <c r="T207" s="2381"/>
      <c r="U207" s="2381"/>
      <c r="V207" s="2381"/>
      <c r="W207" s="2381"/>
      <c r="X207" s="2381"/>
      <c r="Y207" s="2381"/>
      <c r="Z207" s="2381"/>
      <c r="AA207" s="2381"/>
      <c r="AB207" s="2381"/>
      <c r="AC207" s="742"/>
      <c r="AD207" s="2382"/>
      <c r="AE207" s="2382"/>
      <c r="AF207" s="2382"/>
      <c r="AG207" s="2382"/>
      <c r="AH207" s="2382"/>
      <c r="AI207" s="2382"/>
      <c r="AJ207" s="2382"/>
      <c r="AK207" s="508"/>
    </row>
    <row r="208" spans="1:37" hidden="1">
      <c r="A208" s="503"/>
      <c r="B208" s="2428" t="s">
        <v>2267</v>
      </c>
      <c r="C208" s="2428"/>
      <c r="D208" s="2428"/>
      <c r="E208" s="2428"/>
      <c r="F208" s="2428"/>
      <c r="G208" s="2428"/>
      <c r="H208" s="2428"/>
      <c r="I208" s="2428"/>
      <c r="J208" s="2428"/>
      <c r="K208" s="2428"/>
      <c r="L208" s="2428"/>
      <c r="M208" s="2428"/>
      <c r="N208" s="2428"/>
      <c r="O208" s="2428"/>
      <c r="P208" s="2428"/>
      <c r="Q208" s="2428"/>
      <c r="R208" s="2428"/>
      <c r="S208" s="2428"/>
      <c r="T208" s="2428"/>
      <c r="U208" s="2428"/>
      <c r="V208" s="2428"/>
      <c r="W208" s="2428"/>
      <c r="X208" s="2428"/>
      <c r="Y208" s="2428"/>
      <c r="Z208" s="2428"/>
      <c r="AA208" s="2428"/>
      <c r="AB208" s="2428"/>
      <c r="AC208" s="436"/>
      <c r="AD208" s="2411">
        <f>AB259</f>
        <v>0</v>
      </c>
      <c r="AE208" s="2411"/>
      <c r="AF208" s="2411"/>
      <c r="AG208" s="2411"/>
      <c r="AH208" s="2411"/>
      <c r="AI208" s="2411"/>
      <c r="AJ208" s="2411"/>
      <c r="AK208" s="508"/>
    </row>
    <row r="209" spans="1:37" hidden="1">
      <c r="A209" s="503"/>
      <c r="B209" s="2566" t="s">
        <v>2268</v>
      </c>
      <c r="C209" s="2566"/>
      <c r="D209" s="2566"/>
      <c r="E209" s="2566"/>
      <c r="F209" s="2566"/>
      <c r="G209" s="2566"/>
      <c r="H209" s="2566"/>
      <c r="I209" s="2566"/>
      <c r="J209" s="2566"/>
      <c r="K209" s="2566"/>
      <c r="L209" s="2566"/>
      <c r="M209" s="2566"/>
      <c r="N209" s="2566"/>
      <c r="O209" s="2566"/>
      <c r="P209" s="2566"/>
      <c r="Q209" s="2566"/>
      <c r="R209" s="2566"/>
      <c r="S209" s="2566"/>
      <c r="T209" s="2566"/>
      <c r="U209" s="2566"/>
      <c r="V209" s="2566"/>
      <c r="W209" s="2566"/>
      <c r="X209" s="2566"/>
      <c r="Y209" s="2566"/>
      <c r="Z209" s="2566"/>
      <c r="AA209" s="2566"/>
      <c r="AB209" s="2566"/>
      <c r="AC209" s="742"/>
      <c r="AD209" s="2412">
        <f>'Sources and Uses Budget'!B15</f>
        <v>0</v>
      </c>
      <c r="AE209" s="2412"/>
      <c r="AF209" s="2412"/>
      <c r="AG209" s="2412"/>
      <c r="AH209" s="2412"/>
      <c r="AI209" s="2412"/>
      <c r="AJ209" s="2412"/>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1506</v>
      </c>
      <c r="AC210" s="436"/>
      <c r="AD210" s="2416">
        <f>SUM(AD198:AJ208)-AD209</f>
        <v>0</v>
      </c>
      <c r="AE210" s="2416"/>
      <c r="AF210" s="2416"/>
      <c r="AG210" s="2416"/>
      <c r="AH210" s="2416"/>
      <c r="AI210" s="2416"/>
      <c r="AJ210" s="2416"/>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2269</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2270</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2271</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2272</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2273</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2274</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2275</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2276</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5" t="s">
        <v>2277</v>
      </c>
      <c r="J221" s="2385"/>
      <c r="K221" s="2385"/>
      <c r="L221" s="436"/>
      <c r="M221" s="436"/>
      <c r="N221" s="436"/>
      <c r="O221" s="436"/>
      <c r="P221" s="436"/>
      <c r="Q221" s="436"/>
      <c r="R221" s="436"/>
      <c r="S221" s="436"/>
      <c r="T221" s="2553" t="s">
        <v>2278</v>
      </c>
      <c r="U221" s="2553"/>
      <c r="V221" s="2553"/>
      <c r="W221" s="2553"/>
      <c r="X221" s="2553"/>
      <c r="Y221" s="2553"/>
      <c r="Z221" s="745"/>
      <c r="AA221" s="390"/>
      <c r="AB221" s="2380" t="s">
        <v>2279</v>
      </c>
      <c r="AC221" s="2380"/>
      <c r="AD221" s="2380"/>
      <c r="AE221" s="2380"/>
      <c r="AF221" s="2380"/>
      <c r="AG221" s="2380"/>
      <c r="AH221" s="723"/>
      <c r="AI221" s="723"/>
      <c r="AJ221" s="723"/>
      <c r="AK221" s="508"/>
    </row>
    <row r="222" spans="1:37" hidden="1">
      <c r="A222" s="503"/>
      <c r="B222" s="2383" t="s">
        <v>2280</v>
      </c>
      <c r="C222" s="2383"/>
      <c r="D222" s="2383"/>
      <c r="E222" s="2383"/>
      <c r="F222" s="2383"/>
      <c r="G222" s="2383"/>
      <c r="I222" s="2384" t="s">
        <v>2281</v>
      </c>
      <c r="J222" s="2384"/>
      <c r="K222" s="2384"/>
      <c r="L222" s="897"/>
      <c r="N222" s="2374" t="s">
        <v>2282</v>
      </c>
      <c r="O222" s="2374"/>
      <c r="P222" s="2374"/>
      <c r="Q222" s="2374"/>
      <c r="R222" s="2374"/>
      <c r="T222" s="2374" t="s">
        <v>2283</v>
      </c>
      <c r="U222" s="2374"/>
      <c r="V222" s="2374"/>
      <c r="W222" s="2374"/>
      <c r="X222" s="2374"/>
      <c r="Y222" s="2374"/>
      <c r="Z222" s="746"/>
      <c r="AA222" s="390"/>
      <c r="AB222" s="2532" t="s">
        <v>2284</v>
      </c>
      <c r="AC222" s="2532"/>
      <c r="AD222" s="2532"/>
      <c r="AE222" s="2532"/>
      <c r="AF222" s="2532"/>
      <c r="AG222" s="2532"/>
      <c r="AH222" s="723"/>
      <c r="AI222" s="723"/>
      <c r="AJ222" s="723"/>
      <c r="AK222" s="508"/>
    </row>
    <row r="223" spans="1:37" hidden="1">
      <c r="A223" s="503"/>
      <c r="B223" s="2386" t="s">
        <v>1045</v>
      </c>
      <c r="C223" s="2386"/>
      <c r="D223" s="2386"/>
      <c r="E223" s="2386"/>
      <c r="F223" s="2386"/>
      <c r="G223" s="2386"/>
      <c r="H223" s="748"/>
      <c r="I223" s="2372"/>
      <c r="J223" s="2372"/>
      <c r="K223" s="2372"/>
      <c r="L223" s="897"/>
      <c r="N223" s="2427"/>
      <c r="O223" s="2427"/>
      <c r="P223" s="2427"/>
      <c r="Q223" s="2427"/>
      <c r="R223" s="2427"/>
      <c r="T223" s="2531"/>
      <c r="U223" s="2531"/>
      <c r="V223" s="2531"/>
      <c r="W223" s="2531"/>
      <c r="X223" s="2531"/>
      <c r="Y223" s="2531"/>
      <c r="Z223" s="747"/>
      <c r="AA223" s="747"/>
      <c r="AB223" s="2371">
        <f t="shared" ref="AB223:AB232" si="0">MAX(($T223-$N223)*$I223*12,0)</f>
        <v>0</v>
      </c>
      <c r="AC223" s="2371"/>
      <c r="AD223" s="2371"/>
      <c r="AE223" s="2371"/>
      <c r="AF223" s="2371"/>
      <c r="AG223" s="2371"/>
      <c r="AH223" s="723"/>
      <c r="AI223" s="723"/>
      <c r="AJ223" s="723"/>
      <c r="AK223" s="508"/>
    </row>
    <row r="224" spans="1:37" hidden="1">
      <c r="A224" s="503"/>
      <c r="B224" s="2386" t="s">
        <v>1045</v>
      </c>
      <c r="C224" s="2386"/>
      <c r="D224" s="2386"/>
      <c r="E224" s="2386"/>
      <c r="F224" s="2386"/>
      <c r="G224" s="2386"/>
      <c r="I224" s="2372"/>
      <c r="J224" s="2372"/>
      <c r="K224" s="2372"/>
      <c r="L224" s="897"/>
      <c r="N224" s="2427"/>
      <c r="O224" s="2427"/>
      <c r="P224" s="2427"/>
      <c r="Q224" s="2427"/>
      <c r="R224" s="2427"/>
      <c r="T224" s="2531"/>
      <c r="U224" s="2531"/>
      <c r="V224" s="2531"/>
      <c r="W224" s="2531"/>
      <c r="X224" s="2531"/>
      <c r="Y224" s="2531"/>
      <c r="Z224" s="747"/>
      <c r="AA224" s="747"/>
      <c r="AB224" s="2371">
        <f t="shared" si="0"/>
        <v>0</v>
      </c>
      <c r="AC224" s="2371"/>
      <c r="AD224" s="2371"/>
      <c r="AE224" s="2371"/>
      <c r="AF224" s="2371"/>
      <c r="AG224" s="2371"/>
      <c r="AH224" s="723"/>
      <c r="AI224" s="723"/>
      <c r="AJ224" s="723"/>
      <c r="AK224" s="508"/>
    </row>
    <row r="225" spans="1:37" hidden="1">
      <c r="A225" s="503"/>
      <c r="B225" s="2386" t="s">
        <v>1045</v>
      </c>
      <c r="C225" s="2386"/>
      <c r="D225" s="2386"/>
      <c r="E225" s="2386"/>
      <c r="F225" s="2386"/>
      <c r="G225" s="2386"/>
      <c r="I225" s="2372"/>
      <c r="J225" s="2372"/>
      <c r="K225" s="2372"/>
      <c r="L225" s="897"/>
      <c r="N225" s="2427"/>
      <c r="O225" s="2427"/>
      <c r="P225" s="2427"/>
      <c r="Q225" s="2427"/>
      <c r="R225" s="2427"/>
      <c r="T225" s="2531"/>
      <c r="U225" s="2531"/>
      <c r="V225" s="2531"/>
      <c r="W225" s="2531"/>
      <c r="X225" s="2531"/>
      <c r="Y225" s="2531"/>
      <c r="Z225" s="747"/>
      <c r="AA225" s="747"/>
      <c r="AB225" s="2371">
        <f t="shared" si="0"/>
        <v>0</v>
      </c>
      <c r="AC225" s="2371"/>
      <c r="AD225" s="2371"/>
      <c r="AE225" s="2371"/>
      <c r="AF225" s="2371"/>
      <c r="AG225" s="2371"/>
      <c r="AH225" s="723"/>
      <c r="AI225" s="723"/>
      <c r="AJ225" s="723"/>
      <c r="AK225" s="508"/>
    </row>
    <row r="226" spans="1:37" hidden="1">
      <c r="A226" s="503"/>
      <c r="B226" s="2386" t="s">
        <v>1045</v>
      </c>
      <c r="C226" s="2386"/>
      <c r="D226" s="2386"/>
      <c r="E226" s="2386"/>
      <c r="F226" s="2386"/>
      <c r="G226" s="2386"/>
      <c r="I226" s="2372"/>
      <c r="J226" s="2372"/>
      <c r="K226" s="2372"/>
      <c r="L226" s="897"/>
      <c r="N226" s="2427"/>
      <c r="O226" s="2427"/>
      <c r="P226" s="2427"/>
      <c r="Q226" s="2427"/>
      <c r="R226" s="2427"/>
      <c r="T226" s="2531"/>
      <c r="U226" s="2531"/>
      <c r="V226" s="2531"/>
      <c r="W226" s="2531"/>
      <c r="X226" s="2531"/>
      <c r="Y226" s="2531"/>
      <c r="Z226" s="747"/>
      <c r="AA226" s="747"/>
      <c r="AB226" s="2371">
        <f t="shared" si="0"/>
        <v>0</v>
      </c>
      <c r="AC226" s="2371"/>
      <c r="AD226" s="2371"/>
      <c r="AE226" s="2371"/>
      <c r="AF226" s="2371"/>
      <c r="AG226" s="2371"/>
      <c r="AH226" s="723"/>
      <c r="AI226" s="723"/>
      <c r="AJ226" s="723"/>
      <c r="AK226" s="508"/>
    </row>
    <row r="227" spans="1:37" hidden="1">
      <c r="A227" s="503"/>
      <c r="B227" s="2386" t="s">
        <v>1045</v>
      </c>
      <c r="C227" s="2386"/>
      <c r="D227" s="2386"/>
      <c r="E227" s="2386"/>
      <c r="F227" s="2386"/>
      <c r="G227" s="2386"/>
      <c r="I227" s="2372"/>
      <c r="J227" s="2372"/>
      <c r="K227" s="2372"/>
      <c r="L227" s="902"/>
      <c r="N227" s="2427"/>
      <c r="O227" s="2427"/>
      <c r="P227" s="2427"/>
      <c r="Q227" s="2427"/>
      <c r="R227" s="2427"/>
      <c r="T227" s="2531"/>
      <c r="U227" s="2531"/>
      <c r="V227" s="2531"/>
      <c r="W227" s="2531"/>
      <c r="X227" s="2531"/>
      <c r="Y227" s="2531"/>
      <c r="Z227" s="747"/>
      <c r="AA227" s="747"/>
      <c r="AB227" s="2371">
        <f t="shared" si="0"/>
        <v>0</v>
      </c>
      <c r="AC227" s="2371"/>
      <c r="AD227" s="2371"/>
      <c r="AE227" s="2371"/>
      <c r="AF227" s="2371"/>
      <c r="AG227" s="2371"/>
      <c r="AH227" s="723"/>
      <c r="AI227" s="723"/>
      <c r="AJ227" s="723"/>
      <c r="AK227" s="508"/>
    </row>
    <row r="228" spans="1:37" hidden="1">
      <c r="A228" s="503"/>
      <c r="B228" s="2386" t="s">
        <v>1045</v>
      </c>
      <c r="C228" s="2386"/>
      <c r="D228" s="2386"/>
      <c r="E228" s="2386"/>
      <c r="F228" s="2386"/>
      <c r="G228" s="2386"/>
      <c r="I228" s="2372"/>
      <c r="J228" s="2372"/>
      <c r="K228" s="2372"/>
      <c r="L228" s="902"/>
      <c r="N228" s="2427"/>
      <c r="O228" s="2427"/>
      <c r="P228" s="2427"/>
      <c r="Q228" s="2427"/>
      <c r="R228" s="2427"/>
      <c r="T228" s="2531"/>
      <c r="U228" s="2531"/>
      <c r="V228" s="2531"/>
      <c r="W228" s="2531"/>
      <c r="X228" s="2531"/>
      <c r="Y228" s="2531"/>
      <c r="Z228" s="747"/>
      <c r="AA228" s="747"/>
      <c r="AB228" s="2371">
        <f t="shared" si="0"/>
        <v>0</v>
      </c>
      <c r="AC228" s="2371"/>
      <c r="AD228" s="2371"/>
      <c r="AE228" s="2371"/>
      <c r="AF228" s="2371"/>
      <c r="AG228" s="2371"/>
      <c r="AH228" s="723"/>
      <c r="AI228" s="723"/>
      <c r="AJ228" s="723"/>
      <c r="AK228" s="508"/>
    </row>
    <row r="229" spans="1:37" hidden="1">
      <c r="A229" s="503"/>
      <c r="B229" s="2386" t="s">
        <v>1045</v>
      </c>
      <c r="C229" s="2386"/>
      <c r="D229" s="2386"/>
      <c r="E229" s="2386"/>
      <c r="F229" s="2386"/>
      <c r="G229" s="2386"/>
      <c r="I229" s="2372"/>
      <c r="J229" s="2372"/>
      <c r="K229" s="2372"/>
      <c r="L229" s="902"/>
      <c r="N229" s="2427"/>
      <c r="O229" s="2427"/>
      <c r="P229" s="2427"/>
      <c r="Q229" s="2427"/>
      <c r="R229" s="2427"/>
      <c r="T229" s="2531"/>
      <c r="U229" s="2531"/>
      <c r="V229" s="2531"/>
      <c r="W229" s="2531"/>
      <c r="X229" s="2531"/>
      <c r="Y229" s="2531"/>
      <c r="Z229" s="747"/>
      <c r="AA229" s="747"/>
      <c r="AB229" s="2371">
        <f t="shared" si="0"/>
        <v>0</v>
      </c>
      <c r="AC229" s="2371"/>
      <c r="AD229" s="2371"/>
      <c r="AE229" s="2371"/>
      <c r="AF229" s="2371"/>
      <c r="AG229" s="2371"/>
      <c r="AH229" s="723"/>
      <c r="AI229" s="723"/>
      <c r="AJ229" s="723"/>
      <c r="AK229" s="508"/>
    </row>
    <row r="230" spans="1:37" hidden="1">
      <c r="A230" s="503"/>
      <c r="B230" s="2386" t="s">
        <v>1045</v>
      </c>
      <c r="C230" s="2386"/>
      <c r="D230" s="2386"/>
      <c r="E230" s="2386"/>
      <c r="F230" s="2386"/>
      <c r="G230" s="2386"/>
      <c r="I230" s="2372"/>
      <c r="J230" s="2372"/>
      <c r="K230" s="2372"/>
      <c r="L230" s="902"/>
      <c r="N230" s="2427"/>
      <c r="O230" s="2427"/>
      <c r="P230" s="2427"/>
      <c r="Q230" s="2427"/>
      <c r="R230" s="2427"/>
      <c r="T230" s="2531"/>
      <c r="U230" s="2531"/>
      <c r="V230" s="2531"/>
      <c r="W230" s="2531"/>
      <c r="X230" s="2531"/>
      <c r="Y230" s="2531"/>
      <c r="Z230" s="747"/>
      <c r="AA230" s="747"/>
      <c r="AB230" s="2371">
        <f t="shared" si="0"/>
        <v>0</v>
      </c>
      <c r="AC230" s="2371"/>
      <c r="AD230" s="2371"/>
      <c r="AE230" s="2371"/>
      <c r="AF230" s="2371"/>
      <c r="AG230" s="2371"/>
      <c r="AH230" s="723"/>
      <c r="AI230" s="723"/>
      <c r="AJ230" s="723"/>
      <c r="AK230" s="508"/>
    </row>
    <row r="231" spans="1:37" hidden="1">
      <c r="A231" s="503"/>
      <c r="B231" s="2386" t="s">
        <v>1045</v>
      </c>
      <c r="C231" s="2386"/>
      <c r="D231" s="2386"/>
      <c r="E231" s="2386"/>
      <c r="F231" s="2386"/>
      <c r="G231" s="2386"/>
      <c r="I231" s="2372"/>
      <c r="J231" s="2372"/>
      <c r="K231" s="2372"/>
      <c r="L231" s="902"/>
      <c r="N231" s="2427"/>
      <c r="O231" s="2427"/>
      <c r="P231" s="2427"/>
      <c r="Q231" s="2427"/>
      <c r="R231" s="2427"/>
      <c r="T231" s="2531"/>
      <c r="U231" s="2531"/>
      <c r="V231" s="2531"/>
      <c r="W231" s="2531"/>
      <c r="X231" s="2531"/>
      <c r="Y231" s="2531"/>
      <c r="Z231" s="747"/>
      <c r="AA231" s="747"/>
      <c r="AB231" s="2371">
        <f t="shared" si="0"/>
        <v>0</v>
      </c>
      <c r="AC231" s="2371"/>
      <c r="AD231" s="2371"/>
      <c r="AE231" s="2371"/>
      <c r="AF231" s="2371"/>
      <c r="AG231" s="2371"/>
      <c r="AH231" s="723"/>
      <c r="AI231" s="723"/>
      <c r="AJ231" s="723"/>
      <c r="AK231" s="508"/>
    </row>
    <row r="232" spans="1:37" hidden="1">
      <c r="A232" s="503"/>
      <c r="B232" s="2386" t="s">
        <v>1045</v>
      </c>
      <c r="C232" s="2386"/>
      <c r="D232" s="2386"/>
      <c r="E232" s="2386"/>
      <c r="F232" s="2386"/>
      <c r="G232" s="2386"/>
      <c r="I232" s="2373"/>
      <c r="J232" s="2373"/>
      <c r="K232" s="2373"/>
      <c r="L232" s="902"/>
      <c r="N232" s="2427"/>
      <c r="O232" s="2427"/>
      <c r="P232" s="2427"/>
      <c r="Q232" s="2427"/>
      <c r="R232" s="2427"/>
      <c r="T232" s="2531"/>
      <c r="U232" s="2531"/>
      <c r="V232" s="2531"/>
      <c r="W232" s="2531"/>
      <c r="X232" s="2531"/>
      <c r="Y232" s="2531"/>
      <c r="Z232" s="747"/>
      <c r="AA232" s="747"/>
      <c r="AB232" s="2540">
        <f t="shared" si="0"/>
        <v>0</v>
      </c>
      <c r="AC232" s="2540"/>
      <c r="AD232" s="2540"/>
      <c r="AE232" s="2540"/>
      <c r="AF232" s="2540"/>
      <c r="AG232" s="254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2285</v>
      </c>
      <c r="AA233" s="749"/>
      <c r="AB233" s="2371">
        <f>SUM(AB223:AB232)</f>
        <v>0</v>
      </c>
      <c r="AC233" s="2371"/>
      <c r="AD233" s="2371"/>
      <c r="AE233" s="2371"/>
      <c r="AF233" s="2371"/>
      <c r="AG233" s="2371"/>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2286</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2287</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2288</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2289</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1"/>
      <c r="AC239" s="2541"/>
      <c r="AD239" s="2541"/>
      <c r="AE239" s="2541"/>
      <c r="AF239" s="2541"/>
      <c r="AG239" s="2541"/>
      <c r="AH239" s="508"/>
      <c r="AI239" s="508"/>
      <c r="AJ239" s="508"/>
      <c r="AK239" s="508"/>
    </row>
    <row r="240" spans="1:37" hidden="1">
      <c r="A240" s="503"/>
      <c r="B240" s="733" t="s">
        <v>2290</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2291</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2292</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1"/>
      <c r="AC242" s="2541"/>
      <c r="AD242" s="2541"/>
      <c r="AE242" s="2541"/>
      <c r="AF242" s="2541"/>
      <c r="AG242" s="2541"/>
      <c r="AH242" s="508"/>
      <c r="AI242" s="508"/>
      <c r="AJ242" s="508"/>
      <c r="AK242" s="508"/>
    </row>
    <row r="243" spans="1:37" hidden="1">
      <c r="A243" s="503"/>
      <c r="B243" s="734" t="s">
        <v>2293</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2"/>
      <c r="AC243" s="2552"/>
      <c r="AD243" s="2552"/>
      <c r="AE243" s="2552"/>
      <c r="AF243" s="2552"/>
      <c r="AG243" s="2552"/>
      <c r="AH243" s="508"/>
      <c r="AI243" s="508"/>
      <c r="AJ243" s="508"/>
      <c r="AK243" s="508"/>
    </row>
    <row r="244" spans="1:37" hidden="1">
      <c r="A244" s="503"/>
      <c r="B244" s="734" t="s">
        <v>2294</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5">
        <f>IFERROR(AB242/AB243,0)</f>
        <v>0</v>
      </c>
      <c r="AC244" s="2565"/>
      <c r="AD244" s="2565"/>
      <c r="AE244" s="2565"/>
      <c r="AF244" s="2565"/>
      <c r="AG244" s="2565"/>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2295</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0">
        <f>MAX(AB239,AB244)</f>
        <v>0</v>
      </c>
      <c r="AC246" s="2540"/>
      <c r="AD246" s="2540"/>
      <c r="AE246" s="2540"/>
      <c r="AF246" s="2540"/>
      <c r="AG246" s="254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2296</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1">
        <f>AB233+AB246</f>
        <v>0</v>
      </c>
      <c r="AC249" s="2371"/>
      <c r="AD249" s="2371"/>
      <c r="AE249" s="2371"/>
      <c r="AF249" s="2371"/>
      <c r="AG249" s="2371"/>
      <c r="AH249" s="508"/>
      <c r="AI249" s="508"/>
      <c r="AJ249" s="508"/>
      <c r="AK249" s="508"/>
    </row>
    <row r="250" spans="1:37" hidden="1">
      <c r="A250" s="503"/>
      <c r="B250" s="377" t="s">
        <v>2297</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0">
        <v>0.05</v>
      </c>
      <c r="AC250" s="2420"/>
      <c r="AD250" s="2420"/>
      <c r="AE250" s="2420"/>
      <c r="AF250" s="2420"/>
      <c r="AG250" s="2420"/>
      <c r="AH250" s="508"/>
      <c r="AI250" s="508"/>
      <c r="AJ250" s="508"/>
      <c r="AK250" s="508"/>
    </row>
    <row r="251" spans="1:37" hidden="1">
      <c r="A251" s="503"/>
      <c r="B251" s="377" t="s">
        <v>2298</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1">
        <f>AB249-(AB249*AB250)</f>
        <v>0</v>
      </c>
      <c r="AC251" s="2421"/>
      <c r="AD251" s="2421"/>
      <c r="AE251" s="2421"/>
      <c r="AF251" s="2421"/>
      <c r="AG251" s="2421"/>
      <c r="AH251" s="508"/>
      <c r="AI251" s="508"/>
      <c r="AJ251" s="508"/>
      <c r="AK251" s="508"/>
    </row>
    <row r="252" spans="1:37" hidden="1">
      <c r="A252" s="503"/>
      <c r="B252" s="377" t="s">
        <v>2299</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2300</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1">
        <f>AB251/AB257</f>
        <v>0</v>
      </c>
      <c r="AC253" s="2371"/>
      <c r="AD253" s="2371"/>
      <c r="AE253" s="2371"/>
      <c r="AF253" s="2371"/>
      <c r="AG253" s="2371"/>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2301</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0">
        <v>15</v>
      </c>
      <c r="AC255" s="2380"/>
      <c r="AD255" s="2380"/>
      <c r="AE255" s="2380"/>
      <c r="AF255" s="2380"/>
      <c r="AG255" s="2380"/>
      <c r="AH255" s="508"/>
      <c r="AI255" s="508"/>
      <c r="AJ255" s="508"/>
      <c r="AK255" s="508"/>
    </row>
    <row r="256" spans="1:37" hidden="1">
      <c r="A256" s="503"/>
      <c r="B256" s="377" t="s">
        <v>2302</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2">
        <v>0.04</v>
      </c>
      <c r="AC256" s="2422"/>
      <c r="AD256" s="2422"/>
      <c r="AE256" s="2422"/>
      <c r="AF256" s="2422"/>
      <c r="AG256" s="2422"/>
      <c r="AH256" s="508"/>
      <c r="AI256" s="508"/>
      <c r="AJ256" s="508"/>
      <c r="AK256" s="508"/>
    </row>
    <row r="257" spans="1:39" hidden="1">
      <c r="A257" s="503"/>
      <c r="B257" s="377" t="s">
        <v>2303</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29">
        <v>1.1499999999999999</v>
      </c>
      <c r="AC257" s="2429"/>
      <c r="AD257" s="2429"/>
      <c r="AE257" s="2429"/>
      <c r="AF257" s="2429"/>
      <c r="AG257" s="2429"/>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2304</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3">
        <f>PV(AB256/12,AB255*12,-AB253/12, ,0)</f>
        <v>0</v>
      </c>
      <c r="AC259" s="2414"/>
      <c r="AD259" s="2414"/>
      <c r="AE259" s="2414"/>
      <c r="AF259" s="2414"/>
      <c r="AG259" s="2415"/>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2305</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2306</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2307</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2308</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7">
        <f>IFERROR(('Sources and Uses Budget'!D105/'Sources and Uses Budget'!B105),0)</f>
        <v>0</v>
      </c>
      <c r="AC265" s="2418"/>
      <c r="AD265" s="2418"/>
      <c r="AE265" s="2418"/>
      <c r="AF265" s="2418"/>
      <c r="AG265" s="2419"/>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2309</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7">
        <f>AD210*(1-AB265)</f>
        <v>0</v>
      </c>
      <c r="AH267" s="2407"/>
      <c r="AI267" s="2407"/>
      <c r="AJ267" s="2407"/>
      <c r="AK267" s="2407"/>
    </row>
    <row r="268" spans="1:39" hidden="1">
      <c r="A268" s="520"/>
      <c r="B268" s="523" t="s">
        <v>2310</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7">
        <f>'Sources and Uses Budget'!C105</f>
        <v>82176624</v>
      </c>
      <c r="AH268" s="2407"/>
      <c r="AI268" s="2407"/>
      <c r="AJ268" s="2407"/>
      <c r="AK268" s="2407"/>
    </row>
    <row r="269" spans="1:39" hidden="1">
      <c r="A269" s="520"/>
      <c r="B269" s="522" t="s">
        <v>1667</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8">
        <f>ROUNDDOWN(IF(AND(C305="Yes",AK83=10),((AG267*2)/AG268),AG267/AG268),2)</f>
        <v>0</v>
      </c>
      <c r="AH269" s="2408"/>
      <c r="AI269" s="2408"/>
      <c r="AJ269" s="2408"/>
      <c r="AK269" s="2408"/>
    </row>
    <row r="270" spans="1:39" hidden="1">
      <c r="A270" s="520"/>
      <c r="B270" s="867" t="s">
        <v>2311</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2312</v>
      </c>
      <c r="AK272" s="2409">
        <f>IFERROR(IF(AG269=0,0,IF((AG269*100)&gt;8,8,(AG269*100))),0)</f>
        <v>0</v>
      </c>
      <c r="AL272" s="2409"/>
      <c r="AM272" s="2410"/>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2262</v>
      </c>
      <c r="B275" s="438" t="s">
        <v>2313</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2179</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2314</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401" t="s">
        <v>862</v>
      </c>
      <c r="D279" s="2401"/>
      <c r="E279" s="446"/>
      <c r="F279" s="2556" t="s">
        <v>2315</v>
      </c>
      <c r="G279" s="2557"/>
      <c r="H279" s="2557"/>
      <c r="I279" s="2557"/>
      <c r="J279" s="2557"/>
      <c r="K279" s="2557"/>
      <c r="L279" s="2557"/>
      <c r="M279" s="2557"/>
      <c r="N279" s="2557"/>
      <c r="O279" s="2557"/>
      <c r="P279" s="2557"/>
      <c r="Q279" s="2557"/>
      <c r="R279" s="2557"/>
      <c r="S279" s="2557"/>
      <c r="T279" s="2557"/>
      <c r="U279" s="2557"/>
      <c r="V279" s="2557"/>
      <c r="W279" s="2557"/>
      <c r="X279" s="2557"/>
      <c r="Y279" s="2557"/>
      <c r="Z279" s="2557"/>
      <c r="AA279" s="2557"/>
      <c r="AB279" s="2557"/>
      <c r="AC279" s="2557"/>
      <c r="AD279" s="2558"/>
      <c r="AE279" s="449"/>
      <c r="AF279" s="533"/>
      <c r="AG279" s="2402" t="s">
        <v>2255</v>
      </c>
      <c r="AH279" s="2402"/>
      <c r="AI279" s="2402"/>
      <c r="AJ279" s="2402"/>
      <c r="AK279" s="449"/>
      <c r="AL279" s="449"/>
      <c r="AM279" s="449"/>
      <c r="AO279" s="449"/>
    </row>
    <row r="280" spans="1:52" ht="13.7" customHeight="1">
      <c r="A280" s="449"/>
      <c r="B280" s="494"/>
      <c r="C280" s="534"/>
      <c r="D280" s="449"/>
      <c r="E280" s="446"/>
      <c r="F280" s="2559"/>
      <c r="G280" s="2560"/>
      <c r="H280" s="2560"/>
      <c r="I280" s="2560"/>
      <c r="J280" s="2560"/>
      <c r="K280" s="2560"/>
      <c r="L280" s="2560"/>
      <c r="M280" s="2560"/>
      <c r="N280" s="2560"/>
      <c r="O280" s="2560"/>
      <c r="P280" s="2560"/>
      <c r="Q280" s="2560"/>
      <c r="R280" s="2560"/>
      <c r="S280" s="2560"/>
      <c r="T280" s="2560"/>
      <c r="U280" s="2560"/>
      <c r="V280" s="2560"/>
      <c r="W280" s="2560"/>
      <c r="X280" s="2560"/>
      <c r="Y280" s="2560"/>
      <c r="Z280" s="2560"/>
      <c r="AA280" s="2560"/>
      <c r="AB280" s="2560"/>
      <c r="AC280" s="2560"/>
      <c r="AD280" s="2561"/>
      <c r="AE280" s="449"/>
      <c r="AF280" s="533"/>
      <c r="AG280" s="533"/>
      <c r="AH280" s="533"/>
      <c r="AI280" s="533"/>
      <c r="AJ280" s="449"/>
      <c r="AK280" s="449"/>
      <c r="AL280" s="449"/>
      <c r="AM280" s="449"/>
      <c r="AO280" s="449"/>
    </row>
    <row r="281" spans="1:52" ht="13.7" customHeight="1">
      <c r="A281" s="449"/>
      <c r="B281" s="494"/>
      <c r="C281" s="534"/>
      <c r="D281" s="449"/>
      <c r="E281" s="446"/>
      <c r="F281" s="2559"/>
      <c r="G281" s="2560"/>
      <c r="H281" s="2560"/>
      <c r="I281" s="2560"/>
      <c r="J281" s="2560"/>
      <c r="K281" s="2560"/>
      <c r="L281" s="2560"/>
      <c r="M281" s="2560"/>
      <c r="N281" s="2560"/>
      <c r="O281" s="2560"/>
      <c r="P281" s="2560"/>
      <c r="Q281" s="2560"/>
      <c r="R281" s="2560"/>
      <c r="S281" s="2560"/>
      <c r="T281" s="2560"/>
      <c r="U281" s="2560"/>
      <c r="V281" s="2560"/>
      <c r="W281" s="2560"/>
      <c r="X281" s="2560"/>
      <c r="Y281" s="2560"/>
      <c r="Z281" s="2560"/>
      <c r="AA281" s="2560"/>
      <c r="AB281" s="2560"/>
      <c r="AC281" s="2560"/>
      <c r="AD281" s="2561"/>
      <c r="AE281" s="449"/>
      <c r="AF281" s="533"/>
      <c r="AG281" s="533"/>
      <c r="AH281" s="533"/>
      <c r="AI281" s="533"/>
      <c r="AJ281" s="449"/>
      <c r="AK281" s="449"/>
      <c r="AL281" s="449"/>
      <c r="AM281" s="449"/>
      <c r="AO281" s="449"/>
    </row>
    <row r="282" spans="1:52" ht="13.7" customHeight="1">
      <c r="A282" s="449"/>
      <c r="B282" s="494"/>
      <c r="C282" s="534"/>
      <c r="D282" s="449"/>
      <c r="E282" s="446"/>
      <c r="F282" s="2559"/>
      <c r="G282" s="2560"/>
      <c r="H282" s="2560"/>
      <c r="I282" s="2560"/>
      <c r="J282" s="2560"/>
      <c r="K282" s="2560"/>
      <c r="L282" s="2560"/>
      <c r="M282" s="2560"/>
      <c r="N282" s="2560"/>
      <c r="O282" s="2560"/>
      <c r="P282" s="2560"/>
      <c r="Q282" s="2560"/>
      <c r="R282" s="2560"/>
      <c r="S282" s="2560"/>
      <c r="T282" s="2560"/>
      <c r="U282" s="2560"/>
      <c r="V282" s="2560"/>
      <c r="W282" s="2560"/>
      <c r="X282" s="2560"/>
      <c r="Y282" s="2560"/>
      <c r="Z282" s="2560"/>
      <c r="AA282" s="2560"/>
      <c r="AB282" s="2560"/>
      <c r="AC282" s="2560"/>
      <c r="AD282" s="2561"/>
      <c r="AE282" s="449"/>
      <c r="AF282" s="533"/>
      <c r="AG282" s="533"/>
      <c r="AH282" s="533"/>
      <c r="AI282" s="533"/>
      <c r="AJ282" s="449"/>
      <c r="AK282" s="449"/>
      <c r="AL282" s="449"/>
      <c r="AM282" s="449"/>
      <c r="AO282" s="449"/>
    </row>
    <row r="283" spans="1:52" ht="13.7" customHeight="1">
      <c r="A283" s="449"/>
      <c r="B283" s="494"/>
      <c r="C283" s="534"/>
      <c r="D283" s="449"/>
      <c r="E283" s="446"/>
      <c r="F283" s="2559"/>
      <c r="G283" s="2560"/>
      <c r="H283" s="2560"/>
      <c r="I283" s="2560"/>
      <c r="J283" s="2560"/>
      <c r="K283" s="2560"/>
      <c r="L283" s="2560"/>
      <c r="M283" s="2560"/>
      <c r="N283" s="2560"/>
      <c r="O283" s="2560"/>
      <c r="P283" s="2560"/>
      <c r="Q283" s="2560"/>
      <c r="R283" s="2560"/>
      <c r="S283" s="2560"/>
      <c r="T283" s="2560"/>
      <c r="U283" s="2560"/>
      <c r="V283" s="2560"/>
      <c r="W283" s="2560"/>
      <c r="X283" s="2560"/>
      <c r="Y283" s="2560"/>
      <c r="Z283" s="2560"/>
      <c r="AA283" s="2560"/>
      <c r="AB283" s="2560"/>
      <c r="AC283" s="2560"/>
      <c r="AD283" s="2561"/>
      <c r="AE283" s="449"/>
      <c r="AF283" s="533"/>
      <c r="AG283" s="533"/>
      <c r="AH283" s="533"/>
      <c r="AI283" s="533"/>
      <c r="AJ283" s="449"/>
      <c r="AK283" s="449"/>
      <c r="AL283" s="449"/>
      <c r="AM283" s="449"/>
      <c r="AO283" s="449"/>
    </row>
    <row r="284" spans="1:52">
      <c r="A284" s="449"/>
      <c r="B284" s="494"/>
      <c r="C284" s="534"/>
      <c r="D284" s="449"/>
      <c r="E284" s="446"/>
      <c r="F284" s="2559"/>
      <c r="G284" s="2560"/>
      <c r="H284" s="2560"/>
      <c r="I284" s="2560"/>
      <c r="J284" s="2560"/>
      <c r="K284" s="2560"/>
      <c r="L284" s="2560"/>
      <c r="M284" s="2560"/>
      <c r="N284" s="2560"/>
      <c r="O284" s="2560"/>
      <c r="P284" s="2560"/>
      <c r="Q284" s="2560"/>
      <c r="R284" s="2560"/>
      <c r="S284" s="2560"/>
      <c r="T284" s="2560"/>
      <c r="U284" s="2560"/>
      <c r="V284" s="2560"/>
      <c r="W284" s="2560"/>
      <c r="X284" s="2560"/>
      <c r="Y284" s="2560"/>
      <c r="Z284" s="2560"/>
      <c r="AA284" s="2560"/>
      <c r="AB284" s="2560"/>
      <c r="AC284" s="2560"/>
      <c r="AD284" s="2561"/>
      <c r="AE284" s="449"/>
      <c r="AF284" s="533"/>
      <c r="AG284" s="533"/>
      <c r="AH284" s="533"/>
      <c r="AI284" s="533"/>
      <c r="AJ284" s="449"/>
      <c r="AK284" s="449"/>
      <c r="AL284" s="449"/>
      <c r="AM284" s="449"/>
      <c r="AO284" s="449"/>
      <c r="AP284" s="535"/>
    </row>
    <row r="285" spans="1:52">
      <c r="A285" s="449"/>
      <c r="B285" s="494"/>
      <c r="C285" s="534"/>
      <c r="D285" s="449"/>
      <c r="E285" s="446"/>
      <c r="F285" s="2559"/>
      <c r="G285" s="2560"/>
      <c r="H285" s="2560"/>
      <c r="I285" s="2560"/>
      <c r="J285" s="2560"/>
      <c r="K285" s="2560"/>
      <c r="L285" s="2560"/>
      <c r="M285" s="2560"/>
      <c r="N285" s="2560"/>
      <c r="O285" s="2560"/>
      <c r="P285" s="2560"/>
      <c r="Q285" s="2560"/>
      <c r="R285" s="2560"/>
      <c r="S285" s="2560"/>
      <c r="T285" s="2560"/>
      <c r="U285" s="2560"/>
      <c r="V285" s="2560"/>
      <c r="W285" s="2560"/>
      <c r="X285" s="2560"/>
      <c r="Y285" s="2560"/>
      <c r="Z285" s="2560"/>
      <c r="AA285" s="2560"/>
      <c r="AB285" s="2560"/>
      <c r="AC285" s="2560"/>
      <c r="AD285" s="2561"/>
      <c r="AE285" s="449"/>
      <c r="AF285" s="533"/>
      <c r="AG285" s="533"/>
      <c r="AH285" s="533"/>
      <c r="AI285" s="533"/>
      <c r="AJ285" s="449"/>
      <c r="AK285" s="449"/>
      <c r="AL285" s="449"/>
      <c r="AM285" s="449"/>
      <c r="AO285" s="449"/>
      <c r="AP285" s="535"/>
    </row>
    <row r="286" spans="1:52" ht="13.7" customHeight="1">
      <c r="A286" s="449"/>
      <c r="B286" s="494"/>
      <c r="C286" s="2403"/>
      <c r="D286" s="2403"/>
      <c r="E286" s="446"/>
      <c r="F286" s="2562"/>
      <c r="G286" s="2563"/>
      <c r="H286" s="2563"/>
      <c r="I286" s="2563"/>
      <c r="J286" s="2563"/>
      <c r="K286" s="2563"/>
      <c r="L286" s="2563"/>
      <c r="M286" s="2563"/>
      <c r="N286" s="2563"/>
      <c r="O286" s="2563"/>
      <c r="P286" s="2563"/>
      <c r="Q286" s="2563"/>
      <c r="R286" s="2563"/>
      <c r="S286" s="2563"/>
      <c r="T286" s="2563"/>
      <c r="U286" s="2563"/>
      <c r="V286" s="2563"/>
      <c r="W286" s="2563"/>
      <c r="X286" s="2563"/>
      <c r="Y286" s="2563"/>
      <c r="Z286" s="2563"/>
      <c r="AA286" s="2563"/>
      <c r="AB286" s="2563"/>
      <c r="AC286" s="2563"/>
      <c r="AD286" s="2564"/>
      <c r="AE286" s="449"/>
      <c r="AF286" s="533"/>
      <c r="AG286" s="2402"/>
      <c r="AH286" s="2402"/>
      <c r="AI286" s="2402"/>
      <c r="AJ286" s="2402"/>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7" t="s">
        <v>2316</v>
      </c>
      <c r="C289" s="2317"/>
      <c r="D289" s="2317"/>
      <c r="E289" s="2317"/>
      <c r="F289" s="2317"/>
      <c r="G289" s="2317"/>
      <c r="H289" s="2317"/>
      <c r="I289" s="2317"/>
      <c r="J289" s="2317"/>
      <c r="K289" s="2317"/>
      <c r="L289" s="2317"/>
      <c r="M289" s="2317"/>
      <c r="N289" s="2317"/>
      <c r="O289" s="2317"/>
      <c r="P289" s="2317"/>
      <c r="Q289" s="2317"/>
      <c r="R289" s="2317"/>
      <c r="S289" s="2317"/>
      <c r="T289" s="2317"/>
      <c r="U289" s="2317"/>
      <c r="V289" s="2317"/>
      <c r="W289" s="2317"/>
      <c r="X289" s="2317"/>
      <c r="Y289" s="2317"/>
      <c r="Z289" s="2317"/>
      <c r="AA289" s="2317"/>
      <c r="AB289" s="2317"/>
      <c r="AC289" s="2317"/>
      <c r="AD289" s="2317"/>
      <c r="AE289" s="2317"/>
      <c r="AF289" s="2317"/>
      <c r="AG289" s="2317"/>
      <c r="AH289" s="2317"/>
      <c r="AI289" s="2317"/>
      <c r="AJ289" s="2317"/>
      <c r="AK289" s="2317"/>
      <c r="AL289" s="2317"/>
      <c r="AM289" s="449"/>
      <c r="AN289" s="58"/>
    </row>
    <row r="290" spans="1:49">
      <c r="A290" s="449"/>
      <c r="B290" s="2317"/>
      <c r="C290" s="2317"/>
      <c r="D290" s="2317"/>
      <c r="E290" s="2317"/>
      <c r="F290" s="2317"/>
      <c r="G290" s="2317"/>
      <c r="H290" s="2317"/>
      <c r="I290" s="2317"/>
      <c r="J290" s="2317"/>
      <c r="K290" s="2317"/>
      <c r="L290" s="2317"/>
      <c r="M290" s="2317"/>
      <c r="N290" s="2317"/>
      <c r="O290" s="2317"/>
      <c r="P290" s="2317"/>
      <c r="Q290" s="2317"/>
      <c r="R290" s="2317"/>
      <c r="S290" s="2317"/>
      <c r="T290" s="2317"/>
      <c r="U290" s="2317"/>
      <c r="V290" s="2317"/>
      <c r="W290" s="2317"/>
      <c r="X290" s="2317"/>
      <c r="Y290" s="2317"/>
      <c r="Z290" s="2317"/>
      <c r="AA290" s="2317"/>
      <c r="AB290" s="2317"/>
      <c r="AC290" s="2317"/>
      <c r="AD290" s="2317"/>
      <c r="AE290" s="2317"/>
      <c r="AF290" s="2317"/>
      <c r="AG290" s="2317"/>
      <c r="AH290" s="2317"/>
      <c r="AI290" s="2317"/>
      <c r="AJ290" s="2317"/>
      <c r="AK290" s="2317"/>
      <c r="AL290" s="2317"/>
      <c r="AM290" s="449"/>
      <c r="AN290" s="58"/>
    </row>
    <row r="291" spans="1:49">
      <c r="A291" s="449"/>
      <c r="B291" s="2317"/>
      <c r="C291" s="2317"/>
      <c r="D291" s="2317"/>
      <c r="E291" s="2317"/>
      <c r="F291" s="2317"/>
      <c r="G291" s="2317"/>
      <c r="H291" s="2317"/>
      <c r="I291" s="2317"/>
      <c r="J291" s="2317"/>
      <c r="K291" s="2317"/>
      <c r="L291" s="2317"/>
      <c r="M291" s="2317"/>
      <c r="N291" s="2317"/>
      <c r="O291" s="2317"/>
      <c r="P291" s="2317"/>
      <c r="Q291" s="2317"/>
      <c r="R291" s="2317"/>
      <c r="S291" s="2317"/>
      <c r="T291" s="2317"/>
      <c r="U291" s="2317"/>
      <c r="V291" s="2317"/>
      <c r="W291" s="2317"/>
      <c r="X291" s="2317"/>
      <c r="Y291" s="2317"/>
      <c r="Z291" s="2317"/>
      <c r="AA291" s="2317"/>
      <c r="AB291" s="2317"/>
      <c r="AC291" s="2317"/>
      <c r="AD291" s="2317"/>
      <c r="AE291" s="2317"/>
      <c r="AF291" s="2317"/>
      <c r="AG291" s="2317"/>
      <c r="AH291" s="2317"/>
      <c r="AI291" s="2317"/>
      <c r="AJ291" s="2317"/>
      <c r="AK291" s="2317"/>
      <c r="AL291" s="2317"/>
      <c r="AM291" s="449"/>
      <c r="AN291" s="58"/>
    </row>
    <row r="292" spans="1:49">
      <c r="A292" s="449"/>
      <c r="B292" s="2317"/>
      <c r="C292" s="2317"/>
      <c r="D292" s="2317"/>
      <c r="E292" s="2317"/>
      <c r="F292" s="2317"/>
      <c r="G292" s="2317"/>
      <c r="H292" s="2317"/>
      <c r="I292" s="2317"/>
      <c r="J292" s="2317"/>
      <c r="K292" s="2317"/>
      <c r="L292" s="2317"/>
      <c r="M292" s="2317"/>
      <c r="N292" s="2317"/>
      <c r="O292" s="2317"/>
      <c r="P292" s="2317"/>
      <c r="Q292" s="2317"/>
      <c r="R292" s="2317"/>
      <c r="S292" s="2317"/>
      <c r="T292" s="2317"/>
      <c r="U292" s="2317"/>
      <c r="V292" s="2317"/>
      <c r="W292" s="2317"/>
      <c r="X292" s="2317"/>
      <c r="Y292" s="2317"/>
      <c r="Z292" s="2317"/>
      <c r="AA292" s="2317"/>
      <c r="AB292" s="2317"/>
      <c r="AC292" s="2317"/>
      <c r="AD292" s="2317"/>
      <c r="AE292" s="2317"/>
      <c r="AF292" s="2317"/>
      <c r="AG292" s="2317"/>
      <c r="AH292" s="2317"/>
      <c r="AI292" s="2317"/>
      <c r="AJ292" s="2317"/>
      <c r="AK292" s="2317"/>
      <c r="AL292" s="2317"/>
      <c r="AM292" s="449"/>
      <c r="AN292" s="58"/>
    </row>
    <row r="293" spans="1:49">
      <c r="A293" s="449"/>
      <c r="B293" s="2317"/>
      <c r="C293" s="2317"/>
      <c r="D293" s="2317"/>
      <c r="E293" s="2317"/>
      <c r="F293" s="2317"/>
      <c r="G293" s="2317"/>
      <c r="H293" s="2317"/>
      <c r="I293" s="2317"/>
      <c r="J293" s="2317"/>
      <c r="K293" s="2317"/>
      <c r="L293" s="2317"/>
      <c r="M293" s="2317"/>
      <c r="N293" s="2317"/>
      <c r="O293" s="2317"/>
      <c r="P293" s="2317"/>
      <c r="Q293" s="2317"/>
      <c r="R293" s="2317"/>
      <c r="S293" s="2317"/>
      <c r="T293" s="2317"/>
      <c r="U293" s="2317"/>
      <c r="V293" s="2317"/>
      <c r="W293" s="2317"/>
      <c r="X293" s="2317"/>
      <c r="Y293" s="2317"/>
      <c r="Z293" s="2317"/>
      <c r="AA293" s="2317"/>
      <c r="AB293" s="2317"/>
      <c r="AC293" s="2317"/>
      <c r="AD293" s="2317"/>
      <c r="AE293" s="2317"/>
      <c r="AF293" s="2317"/>
      <c r="AG293" s="2317"/>
      <c r="AH293" s="2317"/>
      <c r="AI293" s="2317"/>
      <c r="AJ293" s="2317"/>
      <c r="AK293" s="2317"/>
      <c r="AL293" s="2317"/>
      <c r="AM293" s="449"/>
      <c r="AN293" s="58"/>
    </row>
    <row r="294" spans="1:49">
      <c r="A294" s="449"/>
      <c r="B294" s="2317"/>
      <c r="C294" s="2317"/>
      <c r="D294" s="2317"/>
      <c r="E294" s="2317"/>
      <c r="F294" s="2317"/>
      <c r="G294" s="2317"/>
      <c r="H294" s="2317"/>
      <c r="I294" s="2317"/>
      <c r="J294" s="2317"/>
      <c r="K294" s="2317"/>
      <c r="L294" s="2317"/>
      <c r="M294" s="2317"/>
      <c r="N294" s="2317"/>
      <c r="O294" s="2317"/>
      <c r="P294" s="2317"/>
      <c r="Q294" s="2317"/>
      <c r="R294" s="2317"/>
      <c r="S294" s="2317"/>
      <c r="T294" s="2317"/>
      <c r="U294" s="2317"/>
      <c r="V294" s="2317"/>
      <c r="W294" s="2317"/>
      <c r="X294" s="2317"/>
      <c r="Y294" s="2317"/>
      <c r="Z294" s="2317"/>
      <c r="AA294" s="2317"/>
      <c r="AB294" s="2317"/>
      <c r="AC294" s="2317"/>
      <c r="AD294" s="2317"/>
      <c r="AE294" s="2317"/>
      <c r="AF294" s="2317"/>
      <c r="AG294" s="2317"/>
      <c r="AH294" s="2317"/>
      <c r="AI294" s="2317"/>
      <c r="AJ294" s="2317"/>
      <c r="AK294" s="2317"/>
      <c r="AL294" s="2317"/>
      <c r="AM294" s="449"/>
      <c r="AN294" s="58"/>
    </row>
    <row r="295" spans="1:49">
      <c r="A295" s="449"/>
      <c r="B295" s="2317"/>
      <c r="C295" s="2317"/>
      <c r="D295" s="2317"/>
      <c r="E295" s="2317"/>
      <c r="F295" s="2317"/>
      <c r="G295" s="2317"/>
      <c r="H295" s="2317"/>
      <c r="I295" s="2317"/>
      <c r="J295" s="2317"/>
      <c r="K295" s="2317"/>
      <c r="L295" s="2317"/>
      <c r="M295" s="2317"/>
      <c r="N295" s="2317"/>
      <c r="O295" s="2317"/>
      <c r="P295" s="2317"/>
      <c r="Q295" s="2317"/>
      <c r="R295" s="2317"/>
      <c r="S295" s="2317"/>
      <c r="T295" s="2317"/>
      <c r="U295" s="2317"/>
      <c r="V295" s="2317"/>
      <c r="W295" s="2317"/>
      <c r="X295" s="2317"/>
      <c r="Y295" s="2317"/>
      <c r="Z295" s="2317"/>
      <c r="AA295" s="2317"/>
      <c r="AB295" s="2317"/>
      <c r="AC295" s="2317"/>
      <c r="AD295" s="2317"/>
      <c r="AE295" s="2317"/>
      <c r="AF295" s="2317"/>
      <c r="AG295" s="2317"/>
      <c r="AH295" s="2317"/>
      <c r="AI295" s="2317"/>
      <c r="AJ295" s="2317"/>
      <c r="AK295" s="2317"/>
      <c r="AL295" s="2317"/>
      <c r="AM295" s="449"/>
      <c r="AN295" s="58"/>
    </row>
    <row r="296" spans="1:49">
      <c r="A296" s="449"/>
      <c r="B296" s="2317"/>
      <c r="C296" s="2317"/>
      <c r="D296" s="2317"/>
      <c r="E296" s="2317"/>
      <c r="F296" s="2317"/>
      <c r="G296" s="2317"/>
      <c r="H296" s="2317"/>
      <c r="I296" s="2317"/>
      <c r="J296" s="2317"/>
      <c r="K296" s="2317"/>
      <c r="L296" s="2317"/>
      <c r="M296" s="2317"/>
      <c r="N296" s="2317"/>
      <c r="O296" s="2317"/>
      <c r="P296" s="2317"/>
      <c r="Q296" s="2317"/>
      <c r="R296" s="2317"/>
      <c r="S296" s="2317"/>
      <c r="T296" s="2317"/>
      <c r="U296" s="2317"/>
      <c r="V296" s="2317"/>
      <c r="W296" s="2317"/>
      <c r="X296" s="2317"/>
      <c r="Y296" s="2317"/>
      <c r="Z296" s="2317"/>
      <c r="AA296" s="2317"/>
      <c r="AB296" s="2317"/>
      <c r="AC296" s="2317"/>
      <c r="AD296" s="2317"/>
      <c r="AE296" s="2317"/>
      <c r="AF296" s="2317"/>
      <c r="AG296" s="2317"/>
      <c r="AH296" s="2317"/>
      <c r="AI296" s="2317"/>
      <c r="AJ296" s="2317"/>
      <c r="AK296" s="2317"/>
      <c r="AL296" s="2317"/>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2317</v>
      </c>
      <c r="AK298" s="2409">
        <f>IF($C$279="yes",10,0)</f>
        <v>10</v>
      </c>
      <c r="AL298" s="2409"/>
      <c r="AM298" s="2410"/>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2318</v>
      </c>
      <c r="B301" s="438" t="s">
        <v>2319</v>
      </c>
      <c r="AH301" s="489" t="s">
        <v>2179</v>
      </c>
    </row>
    <row r="302" spans="1:49" ht="15" customHeight="1">
      <c r="B302" s="439"/>
    </row>
    <row r="303" spans="1:49" ht="15" customHeight="1">
      <c r="B303" s="439" t="s">
        <v>2180</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0" t="s">
        <v>2320</v>
      </c>
      <c r="B305" s="1230"/>
      <c r="C305" s="2391" t="s">
        <v>826</v>
      </c>
      <c r="D305" s="2401"/>
      <c r="E305" s="446"/>
      <c r="F305" s="2423" t="s">
        <v>2321</v>
      </c>
      <c r="G305" s="2424"/>
      <c r="H305" s="2424"/>
      <c r="I305" s="2424"/>
      <c r="J305" s="2424"/>
      <c r="K305" s="2424"/>
      <c r="L305" s="2424"/>
      <c r="M305" s="2424"/>
      <c r="N305" s="2424"/>
      <c r="O305" s="2424"/>
      <c r="P305" s="2424"/>
      <c r="Q305" s="2424"/>
      <c r="R305" s="2424"/>
      <c r="S305" s="2424"/>
      <c r="T305" s="2424"/>
      <c r="U305" s="2424"/>
      <c r="V305" s="2424"/>
      <c r="W305" s="2424"/>
      <c r="X305" s="2424"/>
      <c r="Y305" s="2424"/>
      <c r="Z305" s="2424"/>
      <c r="AA305" s="2424"/>
      <c r="AB305" s="2424"/>
      <c r="AC305" s="2424"/>
      <c r="AD305" s="2425"/>
      <c r="AE305" s="540"/>
      <c r="AF305" s="449"/>
      <c r="AG305" s="2426" t="s">
        <v>2322</v>
      </c>
      <c r="AH305" s="2426"/>
      <c r="AI305" s="2426"/>
      <c r="AJ305" s="2426"/>
      <c r="AK305" s="2426"/>
      <c r="AL305" s="449"/>
      <c r="AM305" s="449"/>
      <c r="AN305" s="58"/>
      <c r="AO305" s="13"/>
      <c r="AP305" s="25"/>
      <c r="AS305" s="468"/>
      <c r="AT305" s="468"/>
      <c r="AU305" s="468"/>
      <c r="AV305" s="27"/>
      <c r="AW305" s="27"/>
    </row>
    <row r="306" spans="1:49">
      <c r="A306" s="538"/>
      <c r="B306" s="494"/>
      <c r="F306" s="2395"/>
      <c r="G306" s="2396"/>
      <c r="H306" s="2396"/>
      <c r="I306" s="2396"/>
      <c r="J306" s="2396"/>
      <c r="K306" s="2396"/>
      <c r="L306" s="2396"/>
      <c r="M306" s="2396"/>
      <c r="N306" s="2396"/>
      <c r="O306" s="2396"/>
      <c r="P306" s="2396"/>
      <c r="Q306" s="2396"/>
      <c r="R306" s="2396"/>
      <c r="S306" s="2396"/>
      <c r="T306" s="2396"/>
      <c r="U306" s="2396"/>
      <c r="V306" s="2396"/>
      <c r="W306" s="2396"/>
      <c r="X306" s="2396"/>
      <c r="Y306" s="2396"/>
      <c r="Z306" s="2396"/>
      <c r="AA306" s="2396"/>
      <c r="AB306" s="2396"/>
      <c r="AC306" s="2396"/>
      <c r="AD306" s="2397"/>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5"/>
      <c r="G307" s="2396"/>
      <c r="H307" s="2396"/>
      <c r="I307" s="2396"/>
      <c r="J307" s="2396"/>
      <c r="K307" s="2396"/>
      <c r="L307" s="2396"/>
      <c r="M307" s="2396"/>
      <c r="N307" s="2396"/>
      <c r="O307" s="2396"/>
      <c r="P307" s="2396"/>
      <c r="Q307" s="2396"/>
      <c r="R307" s="2396"/>
      <c r="S307" s="2396"/>
      <c r="T307" s="2396"/>
      <c r="U307" s="2396"/>
      <c r="V307" s="2396"/>
      <c r="W307" s="2396"/>
      <c r="X307" s="2396"/>
      <c r="Y307" s="2396"/>
      <c r="Z307" s="2396"/>
      <c r="AA307" s="2396"/>
      <c r="AB307" s="2396"/>
      <c r="AC307" s="2396"/>
      <c r="AD307" s="2397"/>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5" t="s">
        <v>2323</v>
      </c>
      <c r="G308" s="2396"/>
      <c r="H308" s="2396"/>
      <c r="I308" s="2396"/>
      <c r="J308" s="2396"/>
      <c r="K308" s="2396"/>
      <c r="L308" s="2396"/>
      <c r="M308" s="2396"/>
      <c r="N308" s="2396"/>
      <c r="O308" s="2396"/>
      <c r="P308" s="2396"/>
      <c r="Q308" s="2396"/>
      <c r="R308" s="2396"/>
      <c r="S308" s="2396"/>
      <c r="T308" s="2396"/>
      <c r="U308" s="2396"/>
      <c r="V308" s="2396"/>
      <c r="W308" s="2396"/>
      <c r="X308" s="2396"/>
      <c r="Y308" s="2396"/>
      <c r="Z308" s="2396"/>
      <c r="AA308" s="2396"/>
      <c r="AB308" s="2396"/>
      <c r="AC308" s="2396"/>
      <c r="AD308" s="2397"/>
      <c r="AE308" s="540"/>
      <c r="AF308" s="450"/>
      <c r="AH308" s="450"/>
      <c r="AI308" s="450"/>
      <c r="AJ308" s="449"/>
      <c r="AK308" s="449"/>
      <c r="AL308" s="449"/>
      <c r="AM308" s="449"/>
      <c r="AN308" s="58"/>
      <c r="AO308" s="13"/>
      <c r="AP308" s="509">
        <f>MAX(AP306,AP307)</f>
        <v>9</v>
      </c>
      <c r="AQ308" s="472" t="s">
        <v>2183</v>
      </c>
      <c r="AS308" s="468"/>
      <c r="AT308" s="468"/>
      <c r="AU308" s="468"/>
      <c r="AV308" s="27"/>
      <c r="AW308" s="27"/>
    </row>
    <row r="309" spans="1:49">
      <c r="A309" s="538"/>
      <c r="B309" s="494"/>
      <c r="F309" s="2395"/>
      <c r="G309" s="2396"/>
      <c r="H309" s="2396"/>
      <c r="I309" s="2396"/>
      <c r="J309" s="2396"/>
      <c r="K309" s="2396"/>
      <c r="L309" s="2396"/>
      <c r="M309" s="2396"/>
      <c r="N309" s="2396"/>
      <c r="O309" s="2396"/>
      <c r="P309" s="2396"/>
      <c r="Q309" s="2396"/>
      <c r="R309" s="2396"/>
      <c r="S309" s="2396"/>
      <c r="T309" s="2396"/>
      <c r="U309" s="2396"/>
      <c r="V309" s="2396"/>
      <c r="W309" s="2396"/>
      <c r="X309" s="2396"/>
      <c r="Y309" s="2396"/>
      <c r="Z309" s="2396"/>
      <c r="AA309" s="2396"/>
      <c r="AB309" s="2396"/>
      <c r="AC309" s="2396"/>
      <c r="AD309" s="2397"/>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5" t="s">
        <v>2324</v>
      </c>
      <c r="G310" s="2396"/>
      <c r="H310" s="2396"/>
      <c r="I310" s="2396"/>
      <c r="J310" s="2396"/>
      <c r="K310" s="2396"/>
      <c r="L310" s="2396"/>
      <c r="M310" s="2396"/>
      <c r="N310" s="2396"/>
      <c r="O310" s="2396"/>
      <c r="P310" s="2396"/>
      <c r="Q310" s="2396"/>
      <c r="R310" s="2396"/>
      <c r="S310" s="2396"/>
      <c r="T310" s="2396"/>
      <c r="U310" s="2396"/>
      <c r="V310" s="2396"/>
      <c r="W310" s="2396"/>
      <c r="X310" s="2396"/>
      <c r="Y310" s="2396"/>
      <c r="Z310" s="2396"/>
      <c r="AA310" s="2396"/>
      <c r="AB310" s="2396"/>
      <c r="AC310" s="2396"/>
      <c r="AD310" s="2397"/>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5"/>
      <c r="G311" s="2396"/>
      <c r="H311" s="2396"/>
      <c r="I311" s="2396"/>
      <c r="J311" s="2396"/>
      <c r="K311" s="2396"/>
      <c r="L311" s="2396"/>
      <c r="M311" s="2396"/>
      <c r="N311" s="2396"/>
      <c r="O311" s="2396"/>
      <c r="P311" s="2396"/>
      <c r="Q311" s="2396"/>
      <c r="R311" s="2396"/>
      <c r="S311" s="2396"/>
      <c r="T311" s="2396"/>
      <c r="U311" s="2396"/>
      <c r="V311" s="2396"/>
      <c r="W311" s="2396"/>
      <c r="X311" s="2396"/>
      <c r="Y311" s="2396"/>
      <c r="Z311" s="2396"/>
      <c r="AA311" s="2396"/>
      <c r="AB311" s="2396"/>
      <c r="AC311" s="2396"/>
      <c r="AD311" s="2397"/>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5" t="s">
        <v>2325</v>
      </c>
      <c r="G312" s="2396"/>
      <c r="H312" s="2396"/>
      <c r="I312" s="2396"/>
      <c r="J312" s="2396"/>
      <c r="K312" s="2396"/>
      <c r="L312" s="2396"/>
      <c r="M312" s="2396"/>
      <c r="N312" s="2396"/>
      <c r="O312" s="2396"/>
      <c r="P312" s="2396"/>
      <c r="Q312" s="2396"/>
      <c r="R312" s="2396"/>
      <c r="S312" s="2396"/>
      <c r="T312" s="2396"/>
      <c r="U312" s="2396"/>
      <c r="V312" s="2396"/>
      <c r="W312" s="2396"/>
      <c r="X312" s="2396"/>
      <c r="Y312" s="2396"/>
      <c r="Z312" s="2396"/>
      <c r="AA312" s="2396"/>
      <c r="AB312" s="2396"/>
      <c r="AC312" s="2396"/>
      <c r="AD312" s="2397"/>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8"/>
      <c r="G313" s="2399"/>
      <c r="H313" s="2399"/>
      <c r="I313" s="2399"/>
      <c r="J313" s="2399"/>
      <c r="K313" s="2399"/>
      <c r="L313" s="2399"/>
      <c r="M313" s="2399"/>
      <c r="N313" s="2399"/>
      <c r="O313" s="2399"/>
      <c r="P313" s="2399"/>
      <c r="Q313" s="2399"/>
      <c r="R313" s="2399"/>
      <c r="S313" s="2399"/>
      <c r="T313" s="2399"/>
      <c r="U313" s="2399"/>
      <c r="V313" s="2399"/>
      <c r="W313" s="2399"/>
      <c r="X313" s="2399"/>
      <c r="Y313" s="2399"/>
      <c r="Z313" s="2399"/>
      <c r="AA313" s="2399"/>
      <c r="AB313" s="2399"/>
      <c r="AC313" s="2399"/>
      <c r="AD313" s="2400"/>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0" t="s">
        <v>2326</v>
      </c>
      <c r="B315" s="1230"/>
      <c r="C315" s="2401" t="s">
        <v>862</v>
      </c>
      <c r="D315" s="2401"/>
      <c r="E315" s="446"/>
      <c r="F315" s="861" t="s">
        <v>2327</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2328</v>
      </c>
      <c r="AH315" s="450"/>
      <c r="AI315" s="450"/>
      <c r="AJ315" s="449"/>
      <c r="AK315" s="449"/>
      <c r="AL315" s="449"/>
      <c r="AM315" s="449"/>
      <c r="AN315" s="543"/>
      <c r="AO315" s="13"/>
    </row>
    <row r="316" spans="1:49">
      <c r="A316" s="449"/>
      <c r="B316" s="450"/>
      <c r="C316" s="449"/>
      <c r="D316" s="450"/>
      <c r="E316" s="449"/>
      <c r="F316" s="2395" t="s">
        <v>2329</v>
      </c>
      <c r="G316" s="2396"/>
      <c r="H316" s="2396"/>
      <c r="I316" s="2396"/>
      <c r="J316" s="2396"/>
      <c r="K316" s="2396"/>
      <c r="L316" s="2396"/>
      <c r="M316" s="2396"/>
      <c r="N316" s="2396"/>
      <c r="O316" s="2396"/>
      <c r="P316" s="2396"/>
      <c r="Q316" s="2396"/>
      <c r="R316" s="2396"/>
      <c r="S316" s="2396"/>
      <c r="T316" s="2396"/>
      <c r="U316" s="2396"/>
      <c r="V316" s="2396"/>
      <c r="W316" s="2396"/>
      <c r="X316" s="2396"/>
      <c r="Y316" s="2396"/>
      <c r="Z316" s="2396"/>
      <c r="AA316" s="2396"/>
      <c r="AB316" s="2396"/>
      <c r="AC316" s="2396"/>
      <c r="AD316" s="2397"/>
      <c r="AE316" s="450"/>
      <c r="AF316" s="450"/>
      <c r="AG316" s="450"/>
      <c r="AH316" s="450"/>
      <c r="AI316" s="450"/>
      <c r="AJ316" s="449"/>
      <c r="AK316" s="449"/>
      <c r="AL316" s="449"/>
      <c r="AM316" s="449"/>
      <c r="AR316" s="544"/>
    </row>
    <row r="317" spans="1:49" ht="15" customHeight="1">
      <c r="A317" s="449"/>
      <c r="B317" s="450"/>
      <c r="C317" s="449"/>
      <c r="D317" s="450"/>
      <c r="E317" s="449"/>
      <c r="F317" s="2395"/>
      <c r="G317" s="2396"/>
      <c r="H317" s="2396"/>
      <c r="I317" s="2396"/>
      <c r="J317" s="2396"/>
      <c r="K317" s="2396"/>
      <c r="L317" s="2396"/>
      <c r="M317" s="2396"/>
      <c r="N317" s="2396"/>
      <c r="O317" s="2396"/>
      <c r="P317" s="2396"/>
      <c r="Q317" s="2396"/>
      <c r="R317" s="2396"/>
      <c r="S317" s="2396"/>
      <c r="T317" s="2396"/>
      <c r="U317" s="2396"/>
      <c r="V317" s="2396"/>
      <c r="W317" s="2396"/>
      <c r="X317" s="2396"/>
      <c r="Y317" s="2396"/>
      <c r="Z317" s="2396"/>
      <c r="AA317" s="2396"/>
      <c r="AB317" s="2396"/>
      <c r="AC317" s="2396"/>
      <c r="AD317" s="2397"/>
      <c r="AE317" s="450"/>
      <c r="AF317" s="450"/>
      <c r="AG317" s="450"/>
      <c r="AH317" s="450"/>
      <c r="AI317" s="450"/>
      <c r="AJ317" s="449"/>
      <c r="AK317" s="449"/>
      <c r="AL317" s="449"/>
      <c r="AM317" s="449"/>
      <c r="AR317" s="544"/>
    </row>
    <row r="318" spans="1:49">
      <c r="A318" s="449"/>
      <c r="B318" s="450"/>
      <c r="C318" s="449"/>
      <c r="D318" s="450"/>
      <c r="E318" s="449"/>
      <c r="F318" s="2395"/>
      <c r="G318" s="2396"/>
      <c r="H318" s="2396"/>
      <c r="I318" s="2396"/>
      <c r="J318" s="2396"/>
      <c r="K318" s="2396"/>
      <c r="L318" s="2396"/>
      <c r="M318" s="2396"/>
      <c r="N318" s="2396"/>
      <c r="O318" s="2396"/>
      <c r="P318" s="2396"/>
      <c r="Q318" s="2396"/>
      <c r="R318" s="2396"/>
      <c r="S318" s="2396"/>
      <c r="T318" s="2396"/>
      <c r="U318" s="2396"/>
      <c r="V318" s="2396"/>
      <c r="W318" s="2396"/>
      <c r="X318" s="2396"/>
      <c r="Y318" s="2396"/>
      <c r="Z318" s="2396"/>
      <c r="AA318" s="2396"/>
      <c r="AB318" s="2396"/>
      <c r="AC318" s="2396"/>
      <c r="AD318" s="2397"/>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8"/>
      <c r="G319" s="2399"/>
      <c r="H319" s="2399"/>
      <c r="I319" s="2399"/>
      <c r="J319" s="2399"/>
      <c r="K319" s="2399"/>
      <c r="L319" s="2399"/>
      <c r="M319" s="2399"/>
      <c r="N319" s="2399"/>
      <c r="O319" s="2399"/>
      <c r="P319" s="2399"/>
      <c r="Q319" s="2399"/>
      <c r="R319" s="2399"/>
      <c r="S319" s="2399"/>
      <c r="T319" s="2399"/>
      <c r="U319" s="2399"/>
      <c r="V319" s="2399"/>
      <c r="W319" s="2399"/>
      <c r="X319" s="2399"/>
      <c r="Y319" s="2399"/>
      <c r="Z319" s="2399"/>
      <c r="AA319" s="2399"/>
      <c r="AB319" s="2399"/>
      <c r="AC319" s="2399"/>
      <c r="AD319" s="2400"/>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0" t="s">
        <v>2330</v>
      </c>
      <c r="B323" s="1230"/>
      <c r="C323" s="2401" t="s">
        <v>826</v>
      </c>
      <c r="D323" s="2401"/>
      <c r="E323" s="446"/>
      <c r="F323" s="542" t="s">
        <v>2331</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2328</v>
      </c>
      <c r="AH323" s="450"/>
      <c r="AI323" s="450"/>
      <c r="AJ323" s="449"/>
      <c r="AK323" s="449"/>
      <c r="AL323" s="449"/>
      <c r="AM323" s="449"/>
      <c r="AN323" s="58"/>
      <c r="AO323" s="13"/>
    </row>
    <row r="324" spans="1:44" hidden="1">
      <c r="A324" s="65"/>
      <c r="B324" s="65"/>
      <c r="C324" s="626"/>
      <c r="D324" s="626"/>
      <c r="E324" s="446"/>
      <c r="F324" s="2395" t="s">
        <v>2332</v>
      </c>
      <c r="G324" s="2396"/>
      <c r="H324" s="2396"/>
      <c r="I324" s="2396"/>
      <c r="J324" s="2396"/>
      <c r="K324" s="2396"/>
      <c r="L324" s="2396"/>
      <c r="M324" s="2396"/>
      <c r="N324" s="2396"/>
      <c r="O324" s="2396"/>
      <c r="P324" s="2396"/>
      <c r="Q324" s="2396"/>
      <c r="R324" s="2396"/>
      <c r="S324" s="2396"/>
      <c r="T324" s="2396"/>
      <c r="U324" s="2396"/>
      <c r="V324" s="2396"/>
      <c r="W324" s="2396"/>
      <c r="X324" s="2396"/>
      <c r="Y324" s="2396"/>
      <c r="Z324" s="2396"/>
      <c r="AA324" s="2396"/>
      <c r="AB324" s="2396"/>
      <c r="AC324" s="2396"/>
      <c r="AD324" s="2397"/>
      <c r="AE324" s="450"/>
      <c r="AF324" s="450"/>
      <c r="AG324" s="439"/>
      <c r="AH324" s="450"/>
      <c r="AI324" s="450"/>
      <c r="AJ324" s="449"/>
      <c r="AK324" s="449"/>
      <c r="AL324" s="449"/>
      <c r="AM324" s="449"/>
      <c r="AN324" s="58"/>
      <c r="AO324" s="13"/>
      <c r="AP324" s="455" t="s">
        <v>1045</v>
      </c>
    </row>
    <row r="325" spans="1:44" hidden="1">
      <c r="F325" s="2395"/>
      <c r="G325" s="2396"/>
      <c r="H325" s="2396"/>
      <c r="I325" s="2396"/>
      <c r="J325" s="2396"/>
      <c r="K325" s="2396"/>
      <c r="L325" s="2396"/>
      <c r="M325" s="2396"/>
      <c r="N325" s="2396"/>
      <c r="O325" s="2396"/>
      <c r="P325" s="2396"/>
      <c r="Q325" s="2396"/>
      <c r="R325" s="2396"/>
      <c r="S325" s="2396"/>
      <c r="T325" s="2396"/>
      <c r="U325" s="2396"/>
      <c r="V325" s="2396"/>
      <c r="W325" s="2396"/>
      <c r="X325" s="2396"/>
      <c r="Y325" s="2396"/>
      <c r="Z325" s="2396"/>
      <c r="AA325" s="2396"/>
      <c r="AB325" s="2396"/>
      <c r="AC325" s="2396"/>
      <c r="AD325" s="2397"/>
      <c r="AE325" s="450"/>
      <c r="AF325" s="450"/>
      <c r="AH325" s="450"/>
      <c r="AI325" s="450"/>
      <c r="AJ325" s="449"/>
      <c r="AK325" s="449"/>
      <c r="AL325" s="449"/>
      <c r="AM325" s="449"/>
      <c r="AN325" s="58"/>
      <c r="AO325" s="13"/>
      <c r="AP325" s="455" t="s">
        <v>2333</v>
      </c>
    </row>
    <row r="326" spans="1:44" hidden="1">
      <c r="A326" s="449"/>
      <c r="B326" s="450"/>
      <c r="C326" s="626"/>
      <c r="D326" s="626"/>
      <c r="E326" s="446"/>
      <c r="F326" s="548" t="s">
        <v>2334</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2335</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2336</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0" t="s">
        <v>1045</v>
      </c>
      <c r="G329" s="2431"/>
      <c r="H329" s="2431"/>
      <c r="I329" s="2431"/>
      <c r="J329" s="2431"/>
      <c r="K329" s="2431"/>
      <c r="L329" s="2431"/>
      <c r="M329" s="2431"/>
      <c r="N329" s="2431"/>
      <c r="O329" s="2431"/>
      <c r="P329" s="2431"/>
      <c r="Q329" s="2431"/>
      <c r="R329" s="2431"/>
      <c r="S329" s="2431"/>
      <c r="T329" s="2431"/>
      <c r="U329" s="2431"/>
      <c r="V329" s="2431"/>
      <c r="W329" s="2431"/>
      <c r="X329" s="2431"/>
      <c r="Y329" s="2431"/>
      <c r="Z329" s="2431"/>
      <c r="AA329" s="2431"/>
      <c r="AB329" s="2431"/>
      <c r="AC329" s="2431"/>
      <c r="AD329" s="2432"/>
      <c r="AE329" s="540"/>
      <c r="AF329" s="540"/>
      <c r="AG329" s="540"/>
      <c r="AH329" s="540"/>
      <c r="AI329" s="540"/>
      <c r="AJ329" s="540"/>
      <c r="AK329" s="540"/>
      <c r="AL329" s="449"/>
      <c r="AM329" s="449"/>
      <c r="AN329" s="58"/>
      <c r="AO329" s="13"/>
      <c r="AP329" s="25"/>
    </row>
    <row r="330" spans="1:44" hidden="1">
      <c r="A330" s="449"/>
      <c r="B330" s="450"/>
      <c r="C330" s="626"/>
      <c r="D330" s="626"/>
      <c r="E330" s="446"/>
      <c r="F330" s="2430"/>
      <c r="G330" s="2431"/>
      <c r="H330" s="2431"/>
      <c r="I330" s="2431"/>
      <c r="J330" s="2431"/>
      <c r="K330" s="2431"/>
      <c r="L330" s="2431"/>
      <c r="M330" s="2431"/>
      <c r="N330" s="2431"/>
      <c r="O330" s="2431"/>
      <c r="P330" s="2431"/>
      <c r="Q330" s="2431"/>
      <c r="R330" s="2431"/>
      <c r="S330" s="2431"/>
      <c r="T330" s="2431"/>
      <c r="U330" s="2431"/>
      <c r="V330" s="2431"/>
      <c r="W330" s="2431"/>
      <c r="X330" s="2431"/>
      <c r="Y330" s="2431"/>
      <c r="Z330" s="2431"/>
      <c r="AA330" s="2431"/>
      <c r="AB330" s="2431"/>
      <c r="AC330" s="2431"/>
      <c r="AD330" s="2432"/>
      <c r="AE330" s="450"/>
      <c r="AF330" s="450"/>
      <c r="AG330" s="439"/>
      <c r="AH330" s="450"/>
      <c r="AI330" s="450"/>
      <c r="AJ330" s="449"/>
      <c r="AK330" s="449"/>
      <c r="AL330" s="449"/>
      <c r="AM330" s="449"/>
      <c r="AN330" s="58"/>
      <c r="AO330" s="13"/>
      <c r="AP330" s="25"/>
    </row>
    <row r="331" spans="1:44" hidden="1">
      <c r="A331" s="449"/>
      <c r="B331" s="450"/>
      <c r="C331" s="626"/>
      <c r="D331" s="626"/>
      <c r="E331" s="446"/>
      <c r="F331" s="2430"/>
      <c r="G331" s="2431"/>
      <c r="H331" s="2431"/>
      <c r="I331" s="2431"/>
      <c r="J331" s="2431"/>
      <c r="K331" s="2431"/>
      <c r="L331" s="2431"/>
      <c r="M331" s="2431"/>
      <c r="N331" s="2431"/>
      <c r="O331" s="2431"/>
      <c r="P331" s="2431"/>
      <c r="Q331" s="2431"/>
      <c r="R331" s="2431"/>
      <c r="S331" s="2431"/>
      <c r="T331" s="2431"/>
      <c r="U331" s="2431"/>
      <c r="V331" s="2431"/>
      <c r="W331" s="2431"/>
      <c r="X331" s="2431"/>
      <c r="Y331" s="2431"/>
      <c r="Z331" s="2431"/>
      <c r="AA331" s="2431"/>
      <c r="AB331" s="2431"/>
      <c r="AC331" s="2431"/>
      <c r="AD331" s="2432"/>
      <c r="AE331" s="450"/>
      <c r="AF331" s="450"/>
      <c r="AG331" s="439"/>
      <c r="AH331" s="450"/>
      <c r="AI331" s="450"/>
      <c r="AJ331" s="449"/>
      <c r="AK331" s="449"/>
      <c r="AL331" s="449"/>
      <c r="AM331" s="449"/>
      <c r="AN331" s="58"/>
      <c r="AO331" s="13"/>
      <c r="AP331" s="25"/>
    </row>
    <row r="332" spans="1:44" hidden="1">
      <c r="A332" s="449"/>
      <c r="B332" s="450"/>
      <c r="C332" s="626"/>
      <c r="D332" s="626"/>
      <c r="E332" s="446"/>
      <c r="F332" s="2430"/>
      <c r="G332" s="2431"/>
      <c r="H332" s="2431"/>
      <c r="I332" s="2431"/>
      <c r="J332" s="2431"/>
      <c r="K332" s="2431"/>
      <c r="L332" s="2431"/>
      <c r="M332" s="2431"/>
      <c r="N332" s="2431"/>
      <c r="O332" s="2431"/>
      <c r="P332" s="2431"/>
      <c r="Q332" s="2431"/>
      <c r="R332" s="2431"/>
      <c r="S332" s="2431"/>
      <c r="T332" s="2431"/>
      <c r="U332" s="2431"/>
      <c r="V332" s="2431"/>
      <c r="W332" s="2431"/>
      <c r="X332" s="2431"/>
      <c r="Y332" s="2431"/>
      <c r="Z332" s="2431"/>
      <c r="AA332" s="2431"/>
      <c r="AB332" s="2431"/>
      <c r="AC332" s="2431"/>
      <c r="AD332" s="2432"/>
      <c r="AE332" s="450"/>
      <c r="AF332" s="450"/>
      <c r="AG332" s="439"/>
      <c r="AH332" s="450"/>
      <c r="AI332" s="450"/>
      <c r="AJ332" s="449"/>
      <c r="AK332" s="449"/>
      <c r="AL332" s="449"/>
      <c r="AM332" s="449"/>
      <c r="AN332" s="58"/>
      <c r="AO332" s="13"/>
      <c r="AP332" s="25"/>
    </row>
    <row r="333" spans="1:44" hidden="1">
      <c r="A333" s="449"/>
      <c r="B333" s="450"/>
      <c r="C333" s="626"/>
      <c r="D333" s="626"/>
      <c r="E333" s="446"/>
      <c r="F333" s="2433"/>
      <c r="G333" s="2434"/>
      <c r="H333" s="2434"/>
      <c r="I333" s="2434"/>
      <c r="J333" s="2434"/>
      <c r="K333" s="2434"/>
      <c r="L333" s="2434"/>
      <c r="M333" s="2434"/>
      <c r="N333" s="2434"/>
      <c r="O333" s="2434"/>
      <c r="P333" s="2434"/>
      <c r="Q333" s="2434"/>
      <c r="R333" s="2434"/>
      <c r="S333" s="2434"/>
      <c r="T333" s="2434"/>
      <c r="U333" s="2434"/>
      <c r="V333" s="2434"/>
      <c r="W333" s="2434"/>
      <c r="X333" s="2434"/>
      <c r="Y333" s="2434"/>
      <c r="Z333" s="2434"/>
      <c r="AA333" s="2434"/>
      <c r="AB333" s="2434"/>
      <c r="AC333" s="2434"/>
      <c r="AD333" s="2435"/>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2337</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1045</v>
      </c>
    </row>
    <row r="337" spans="1:42" ht="12.75" hidden="1" customHeight="1">
      <c r="A337" s="449"/>
      <c r="B337" s="450"/>
      <c r="C337" s="626"/>
      <c r="D337" s="626"/>
      <c r="E337" s="446"/>
      <c r="F337" s="552"/>
      <c r="G337" s="473" t="s">
        <v>22</v>
      </c>
      <c r="H337" s="473"/>
      <c r="I337" s="2436" t="s">
        <v>1045</v>
      </c>
      <c r="J337" s="2436"/>
      <c r="K337" s="2436"/>
      <c r="L337" s="2436"/>
      <c r="M337" s="2436"/>
      <c r="N337" s="2436"/>
      <c r="O337" s="2436"/>
      <c r="P337" s="2436"/>
      <c r="Q337" s="2436"/>
      <c r="R337" s="2436"/>
      <c r="S337" s="2436"/>
      <c r="T337" s="2436"/>
      <c r="U337" s="2436"/>
      <c r="V337" s="2436"/>
      <c r="W337" s="2436"/>
      <c r="X337" s="2436"/>
      <c r="Y337" s="2436"/>
      <c r="Z337" s="2436"/>
      <c r="AA337" s="2436"/>
      <c r="AB337" s="2436"/>
      <c r="AC337" s="2436"/>
      <c r="AD337" s="2437"/>
      <c r="AE337" s="450"/>
      <c r="AF337" s="450"/>
      <c r="AG337" s="439"/>
      <c r="AH337" s="450"/>
      <c r="AI337" s="450"/>
      <c r="AJ337" s="449"/>
      <c r="AK337" s="449"/>
      <c r="AL337" s="449"/>
      <c r="AM337" s="449"/>
      <c r="AN337" s="58"/>
      <c r="AO337" s="13"/>
      <c r="AP337" s="455" t="s">
        <v>2338</v>
      </c>
    </row>
    <row r="338" spans="1:42" hidden="1">
      <c r="A338" s="449"/>
      <c r="B338" s="450"/>
      <c r="C338" s="626"/>
      <c r="D338" s="626"/>
      <c r="E338" s="446"/>
      <c r="F338" s="552"/>
      <c r="G338" s="473"/>
      <c r="H338" s="473"/>
      <c r="I338" s="2436"/>
      <c r="J338" s="2436"/>
      <c r="K338" s="2436"/>
      <c r="L338" s="2436"/>
      <c r="M338" s="2436"/>
      <c r="N338" s="2436"/>
      <c r="O338" s="2436"/>
      <c r="P338" s="2436"/>
      <c r="Q338" s="2436"/>
      <c r="R338" s="2436"/>
      <c r="S338" s="2436"/>
      <c r="T338" s="2436"/>
      <c r="U338" s="2436"/>
      <c r="V338" s="2436"/>
      <c r="W338" s="2436"/>
      <c r="X338" s="2436"/>
      <c r="Y338" s="2436"/>
      <c r="Z338" s="2436"/>
      <c r="AA338" s="2436"/>
      <c r="AB338" s="2436"/>
      <c r="AC338" s="2436"/>
      <c r="AD338" s="2437"/>
      <c r="AE338" s="450"/>
      <c r="AF338" s="450"/>
      <c r="AG338" s="439"/>
      <c r="AH338" s="450"/>
      <c r="AI338" s="450"/>
      <c r="AJ338" s="449"/>
      <c r="AK338" s="449"/>
      <c r="AL338" s="449"/>
      <c r="AM338" s="449"/>
      <c r="AN338" s="58"/>
      <c r="AO338" s="13"/>
      <c r="AP338" s="455" t="s">
        <v>2339</v>
      </c>
    </row>
    <row r="339" spans="1:42" hidden="1">
      <c r="A339" s="449"/>
      <c r="B339" s="450"/>
      <c r="C339" s="547"/>
      <c r="D339" s="547"/>
      <c r="E339" s="446"/>
      <c r="F339" s="552"/>
      <c r="G339" s="473"/>
      <c r="H339" s="473"/>
      <c r="I339" s="2436"/>
      <c r="J339" s="2436"/>
      <c r="K339" s="2436"/>
      <c r="L339" s="2436"/>
      <c r="M339" s="2436"/>
      <c r="N339" s="2436"/>
      <c r="O339" s="2436"/>
      <c r="P339" s="2436"/>
      <c r="Q339" s="2436"/>
      <c r="R339" s="2436"/>
      <c r="S339" s="2436"/>
      <c r="T339" s="2436"/>
      <c r="U339" s="2436"/>
      <c r="V339" s="2436"/>
      <c r="W339" s="2436"/>
      <c r="X339" s="2436"/>
      <c r="Y339" s="2436"/>
      <c r="Z339" s="2436"/>
      <c r="AA339" s="2436"/>
      <c r="AB339" s="2436"/>
      <c r="AC339" s="2436"/>
      <c r="AD339" s="2437"/>
      <c r="AE339" s="450"/>
      <c r="AF339" s="450"/>
      <c r="AG339" s="439"/>
      <c r="AH339" s="450"/>
      <c r="AI339" s="450"/>
      <c r="AJ339" s="449"/>
      <c r="AK339" s="449"/>
      <c r="AL339" s="449"/>
      <c r="AM339" s="449"/>
      <c r="AN339" s="58"/>
      <c r="AO339" s="13"/>
      <c r="AP339" s="455" t="s">
        <v>2340</v>
      </c>
    </row>
    <row r="340" spans="1:42" hidden="1">
      <c r="A340" s="449"/>
      <c r="B340" s="450"/>
      <c r="C340" s="547"/>
      <c r="D340" s="547"/>
      <c r="E340" s="446"/>
      <c r="F340" s="550"/>
      <c r="G340" s="450"/>
      <c r="H340" s="450"/>
      <c r="I340" s="2438"/>
      <c r="J340" s="2438"/>
      <c r="K340" s="2438"/>
      <c r="L340" s="2438"/>
      <c r="M340" s="2438"/>
      <c r="N340" s="2438"/>
      <c r="O340" s="2438"/>
      <c r="P340" s="2438"/>
      <c r="Q340" s="2438"/>
      <c r="R340" s="2438"/>
      <c r="S340" s="2438"/>
      <c r="T340" s="2438"/>
      <c r="U340" s="2438"/>
      <c r="V340" s="2438"/>
      <c r="W340" s="2438"/>
      <c r="X340" s="2438"/>
      <c r="Y340" s="2438"/>
      <c r="Z340" s="2438"/>
      <c r="AA340" s="2438"/>
      <c r="AB340" s="2438"/>
      <c r="AC340" s="2438"/>
      <c r="AD340" s="2439"/>
      <c r="AE340" s="450"/>
      <c r="AF340" s="450"/>
      <c r="AG340" s="439"/>
      <c r="AH340" s="450"/>
      <c r="AI340" s="450"/>
      <c r="AJ340" s="449"/>
      <c r="AK340" s="449"/>
      <c r="AL340" s="449"/>
      <c r="AM340" s="449"/>
      <c r="AN340" s="58"/>
      <c r="AO340" s="13"/>
      <c r="AP340" s="455" t="s">
        <v>2341</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6" t="s">
        <v>1045</v>
      </c>
      <c r="J342" s="2436"/>
      <c r="K342" s="2436"/>
      <c r="L342" s="2436"/>
      <c r="M342" s="2436"/>
      <c r="N342" s="2436"/>
      <c r="O342" s="2436"/>
      <c r="P342" s="2436"/>
      <c r="Q342" s="2436"/>
      <c r="R342" s="2436"/>
      <c r="S342" s="2436"/>
      <c r="T342" s="2436"/>
      <c r="U342" s="2436"/>
      <c r="V342" s="2436"/>
      <c r="W342" s="2436"/>
      <c r="X342" s="2436"/>
      <c r="Y342" s="2436"/>
      <c r="Z342" s="2436"/>
      <c r="AA342" s="2436"/>
      <c r="AB342" s="2436"/>
      <c r="AC342" s="2436"/>
      <c r="AD342" s="2437"/>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7"/>
      <c r="AE343" s="450"/>
      <c r="AF343" s="450"/>
      <c r="AG343" s="439"/>
      <c r="AH343" s="450"/>
      <c r="AI343" s="450"/>
      <c r="AJ343" s="449"/>
      <c r="AK343" s="449"/>
      <c r="AL343" s="449"/>
      <c r="AM343" s="449"/>
      <c r="AN343" s="58"/>
      <c r="AO343" s="13"/>
      <c r="AP343" s="455" t="s">
        <v>1045</v>
      </c>
    </row>
    <row r="344" spans="1:42" hidden="1">
      <c r="A344" s="449"/>
      <c r="B344" s="450"/>
      <c r="C344" s="547"/>
      <c r="D344" s="547"/>
      <c r="E344" s="446"/>
      <c r="F344" s="553"/>
      <c r="G344" s="554"/>
      <c r="H344" s="554"/>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9"/>
      <c r="AE344" s="450"/>
      <c r="AF344" s="450"/>
      <c r="AG344" s="439"/>
      <c r="AH344" s="450"/>
      <c r="AI344" s="450"/>
      <c r="AJ344" s="449"/>
      <c r="AK344" s="449"/>
      <c r="AL344" s="449"/>
      <c r="AM344" s="449"/>
      <c r="AN344" s="58"/>
      <c r="AO344" s="13"/>
      <c r="AP344" s="455" t="s">
        <v>2342</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2343</v>
      </c>
    </row>
    <row r="346" spans="1:42" ht="12.75" hidden="1" customHeight="1">
      <c r="A346" s="1230" t="s">
        <v>2344</v>
      </c>
      <c r="B346" s="1230"/>
      <c r="C346" s="2401" t="s">
        <v>826</v>
      </c>
      <c r="D346" s="2401"/>
      <c r="E346" s="446"/>
      <c r="F346" s="2334" t="s">
        <v>2345</v>
      </c>
      <c r="G346" s="2335"/>
      <c r="H346" s="2335"/>
      <c r="I346" s="2335"/>
      <c r="J346" s="2335"/>
      <c r="K346" s="2335"/>
      <c r="L346" s="2335"/>
      <c r="M346" s="2335"/>
      <c r="N346" s="2335"/>
      <c r="O346" s="2335"/>
      <c r="P346" s="2335"/>
      <c r="Q346" s="2335"/>
      <c r="R346" s="2335"/>
      <c r="S346" s="2335"/>
      <c r="T346" s="2335"/>
      <c r="U346" s="2335"/>
      <c r="V346" s="2335"/>
      <c r="W346" s="2335"/>
      <c r="X346" s="2335"/>
      <c r="Y346" s="2335"/>
      <c r="Z346" s="2335"/>
      <c r="AA346" s="2335"/>
      <c r="AB346" s="2335"/>
      <c r="AC346" s="2335"/>
      <c r="AD346" s="2336"/>
      <c r="AE346" s="450"/>
      <c r="AF346" s="450"/>
      <c r="AG346" s="439" t="s">
        <v>2328</v>
      </c>
      <c r="AH346" s="450"/>
      <c r="AI346" s="450"/>
      <c r="AJ346" s="449"/>
      <c r="AK346" s="449"/>
      <c r="AL346" s="449"/>
      <c r="AM346" s="449"/>
      <c r="AN346" s="58"/>
      <c r="AO346" s="13"/>
    </row>
    <row r="347" spans="1:42" ht="15" hidden="1" customHeight="1">
      <c r="A347" s="449"/>
      <c r="B347" s="450"/>
      <c r="C347" s="450"/>
      <c r="D347" s="450"/>
      <c r="E347" s="450"/>
      <c r="F347" s="2363"/>
      <c r="G347" s="2364"/>
      <c r="H347" s="2364"/>
      <c r="I347" s="2364"/>
      <c r="J347" s="2364"/>
      <c r="K347" s="2364"/>
      <c r="L347" s="2364"/>
      <c r="M347" s="2364"/>
      <c r="N347" s="2364"/>
      <c r="O347" s="2364"/>
      <c r="P347" s="2364"/>
      <c r="Q347" s="2364"/>
      <c r="R347" s="2364"/>
      <c r="S347" s="2364"/>
      <c r="T347" s="2364"/>
      <c r="U347" s="2364"/>
      <c r="V347" s="2364"/>
      <c r="W347" s="2364"/>
      <c r="X347" s="2364"/>
      <c r="Y347" s="2364"/>
      <c r="Z347" s="2364"/>
      <c r="AA347" s="2364"/>
      <c r="AB347" s="2364"/>
      <c r="AC347" s="2364"/>
      <c r="AD347" s="2365"/>
      <c r="AE347" s="450"/>
      <c r="AF347" s="450"/>
      <c r="AG347" s="450"/>
      <c r="AH347" s="450"/>
      <c r="AI347" s="450"/>
      <c r="AJ347" s="449"/>
      <c r="AK347" s="449"/>
      <c r="AL347" s="449"/>
      <c r="AM347" s="449"/>
      <c r="AN347" s="58"/>
      <c r="AO347" s="13"/>
    </row>
    <row r="348" spans="1:42" ht="15" hidden="1" customHeight="1">
      <c r="A348" s="449"/>
      <c r="B348" s="450"/>
      <c r="C348" s="450"/>
      <c r="D348" s="450"/>
      <c r="E348" s="450"/>
      <c r="F348" s="2363"/>
      <c r="G348" s="2364"/>
      <c r="H348" s="2364"/>
      <c r="I348" s="2364"/>
      <c r="J348" s="2364"/>
      <c r="K348" s="2364"/>
      <c r="L348" s="2364"/>
      <c r="M348" s="2364"/>
      <c r="N348" s="2364"/>
      <c r="O348" s="2364"/>
      <c r="P348" s="2364"/>
      <c r="Q348" s="2364"/>
      <c r="R348" s="2364"/>
      <c r="S348" s="2364"/>
      <c r="T348" s="2364"/>
      <c r="U348" s="2364"/>
      <c r="V348" s="2364"/>
      <c r="W348" s="2364"/>
      <c r="X348" s="2364"/>
      <c r="Y348" s="2364"/>
      <c r="Z348" s="2364"/>
      <c r="AA348" s="2364"/>
      <c r="AB348" s="2364"/>
      <c r="AC348" s="2364"/>
      <c r="AD348" s="2365"/>
      <c r="AE348" s="450"/>
      <c r="AF348" s="450"/>
      <c r="AG348" s="450"/>
      <c r="AH348" s="450"/>
      <c r="AI348" s="450"/>
      <c r="AJ348" s="449"/>
      <c r="AK348" s="449"/>
      <c r="AL348" s="449"/>
      <c r="AM348" s="555"/>
      <c r="AN348" s="13"/>
      <c r="AO348" s="13"/>
    </row>
    <row r="349" spans="1:42" hidden="1">
      <c r="A349" s="449"/>
      <c r="B349" s="450"/>
      <c r="C349" s="449"/>
      <c r="D349" s="450"/>
      <c r="E349" s="449"/>
      <c r="F349" s="556" t="s">
        <v>2346</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2347</v>
      </c>
      <c r="AK351" s="2404">
        <f>IF(NOT(OR(Application!M364="Yes",Application!M365="Yes")),0,AP308)</f>
        <v>9</v>
      </c>
      <c r="AL351" s="2405"/>
      <c r="AM351" s="2406"/>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2348</v>
      </c>
      <c r="B354" s="439" t="s">
        <v>2349</v>
      </c>
      <c r="C354" s="436"/>
      <c r="AC354" s="439"/>
      <c r="AE354" s="2346" t="s">
        <v>2179</v>
      </c>
      <c r="AF354" s="2346"/>
      <c r="AG354" s="2346"/>
      <c r="AH354" s="2346"/>
      <c r="AI354" s="2346"/>
      <c r="AJ354" s="2346"/>
      <c r="AK354" s="2346"/>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0" t="s">
        <v>2350</v>
      </c>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501"/>
      <c r="AL356" s="501"/>
      <c r="AM356" s="501"/>
      <c r="AN356" s="495"/>
    </row>
    <row r="357" spans="1:44" s="449" customFormat="1" ht="12.75" customHeight="1">
      <c r="A357" s="501"/>
      <c r="B357" s="509"/>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501"/>
      <c r="AL357" s="501"/>
      <c r="AM357" s="501"/>
      <c r="AN357" s="495"/>
    </row>
    <row r="358" spans="1:44" s="449" customFormat="1" ht="12.75" customHeight="1">
      <c r="A358" s="501"/>
      <c r="B358" s="509"/>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501"/>
      <c r="AL358" s="501"/>
      <c r="AM358" s="501"/>
      <c r="AN358" s="495"/>
      <c r="AQ358" s="468"/>
    </row>
    <row r="359" spans="1:44" s="449" customFormat="1" ht="12.75" customHeight="1">
      <c r="A359" s="501"/>
      <c r="B359" s="509"/>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501"/>
      <c r="AL359" s="501"/>
      <c r="AM359" s="501"/>
      <c r="AN359" s="495"/>
      <c r="AQ359" s="468"/>
    </row>
    <row r="360" spans="1:44" s="449" customFormat="1" ht="12.4" customHeight="1">
      <c r="A360" s="501"/>
      <c r="B360" s="509"/>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501"/>
      <c r="AL360" s="501"/>
      <c r="AM360" s="501"/>
      <c r="AN360" s="495"/>
      <c r="AQ360" s="468"/>
      <c r="AR360" s="468"/>
    </row>
    <row r="361" spans="1:44" s="449" customFormat="1" ht="45.75" customHeight="1">
      <c r="A361" s="501"/>
      <c r="B361" s="509"/>
      <c r="C361" s="2440" t="s">
        <v>2351</v>
      </c>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0" t="s">
        <v>2352</v>
      </c>
      <c r="D363" s="2440"/>
      <c r="E363" s="2440"/>
      <c r="F363" s="2440"/>
      <c r="G363" s="2440"/>
      <c r="H363" s="2440"/>
      <c r="I363" s="2440"/>
      <c r="J363" s="2440"/>
      <c r="K363" s="2440"/>
      <c r="L363" s="2440"/>
      <c r="M363" s="2440"/>
      <c r="N363" s="2440"/>
      <c r="O363" s="2440"/>
      <c r="P363" s="2440"/>
      <c r="Q363" s="2440"/>
      <c r="R363" s="2440"/>
      <c r="S363" s="2440"/>
      <c r="T363" s="2440"/>
      <c r="U363" s="2440"/>
      <c r="V363" s="2440"/>
      <c r="W363" s="2440"/>
      <c r="X363" s="2440"/>
      <c r="Y363" s="2440"/>
      <c r="Z363" s="2440"/>
      <c r="AA363" s="2440"/>
      <c r="AB363" s="2440"/>
      <c r="AC363" s="2440"/>
      <c r="AD363" s="2440"/>
      <c r="AE363" s="2440"/>
      <c r="AF363" s="2440"/>
      <c r="AG363" s="2440"/>
      <c r="AH363" s="2440"/>
      <c r="AI363" s="2440"/>
      <c r="AJ363" s="2440"/>
      <c r="AK363" s="501"/>
      <c r="AL363" s="501"/>
      <c r="AM363" s="501"/>
      <c r="AN363" s="495"/>
      <c r="AQ363" s="468"/>
      <c r="AR363" s="468"/>
    </row>
    <row r="364" spans="1:44" s="449" customFormat="1" ht="30" customHeight="1">
      <c r="A364" s="501"/>
      <c r="B364" s="509"/>
      <c r="C364" s="2440"/>
      <c r="D364" s="2440"/>
      <c r="E364" s="2440"/>
      <c r="F364" s="2440"/>
      <c r="G364" s="2440"/>
      <c r="H364" s="2440"/>
      <c r="I364" s="2440"/>
      <c r="J364" s="2440"/>
      <c r="K364" s="2440"/>
      <c r="L364" s="2440"/>
      <c r="M364" s="2440"/>
      <c r="N364" s="2440"/>
      <c r="O364" s="2440"/>
      <c r="P364" s="2440"/>
      <c r="Q364" s="2440"/>
      <c r="R364" s="2440"/>
      <c r="S364" s="2440"/>
      <c r="T364" s="2440"/>
      <c r="U364" s="2440"/>
      <c r="V364" s="2440"/>
      <c r="W364" s="2440"/>
      <c r="X364" s="2440"/>
      <c r="Y364" s="2440"/>
      <c r="Z364" s="2440"/>
      <c r="AA364" s="2440"/>
      <c r="AB364" s="2440"/>
      <c r="AC364" s="2440"/>
      <c r="AD364" s="2440"/>
      <c r="AE364" s="2440"/>
      <c r="AF364" s="2440"/>
      <c r="AG364" s="2440"/>
      <c r="AH364" s="2440"/>
      <c r="AI364" s="2440"/>
      <c r="AJ364" s="2440"/>
      <c r="AK364" s="501"/>
      <c r="AL364" s="501"/>
      <c r="AM364" s="501"/>
      <c r="AN364" s="495"/>
      <c r="AR364" s="468"/>
    </row>
    <row r="365" spans="1:44" s="449" customFormat="1" ht="12.75" customHeight="1">
      <c r="A365" s="501"/>
      <c r="B365" s="509"/>
      <c r="C365" s="2440"/>
      <c r="D365" s="2440"/>
      <c r="E365" s="2440"/>
      <c r="F365" s="2440"/>
      <c r="G365" s="2440"/>
      <c r="H365" s="2440"/>
      <c r="I365" s="2440"/>
      <c r="J365" s="2440"/>
      <c r="K365" s="2440"/>
      <c r="L365" s="2440"/>
      <c r="M365" s="2440"/>
      <c r="N365" s="2440"/>
      <c r="O365" s="2440"/>
      <c r="P365" s="2440"/>
      <c r="Q365" s="2440"/>
      <c r="R365" s="2440"/>
      <c r="S365" s="2440"/>
      <c r="T365" s="2440"/>
      <c r="U365" s="2440"/>
      <c r="V365" s="2440"/>
      <c r="W365" s="2440"/>
      <c r="X365" s="2440"/>
      <c r="Y365" s="2440"/>
      <c r="Z365" s="2440"/>
      <c r="AA365" s="2440"/>
      <c r="AB365" s="2440"/>
      <c r="AC365" s="2440"/>
      <c r="AD365" s="2440"/>
      <c r="AE365" s="2440"/>
      <c r="AF365" s="2440"/>
      <c r="AG365" s="2440"/>
      <c r="AH365" s="2440"/>
      <c r="AI365" s="2440"/>
      <c r="AJ365" s="2440"/>
      <c r="AK365" s="501"/>
      <c r="AL365" s="501"/>
      <c r="AM365" s="501"/>
      <c r="AN365" s="495"/>
      <c r="AR365" s="468"/>
    </row>
    <row r="366" spans="1:44" s="449" customFormat="1" ht="12.75" customHeight="1">
      <c r="A366" s="501"/>
      <c r="B366" s="509"/>
      <c r="C366" s="2440" t="s">
        <v>2353</v>
      </c>
      <c r="D366" s="2440"/>
      <c r="E366" s="2440"/>
      <c r="F366" s="2440"/>
      <c r="G366" s="2440"/>
      <c r="H366" s="2440"/>
      <c r="I366" s="2440"/>
      <c r="J366" s="2440"/>
      <c r="K366" s="2440"/>
      <c r="L366" s="2440"/>
      <c r="M366" s="2440"/>
      <c r="N366" s="2440"/>
      <c r="O366" s="2440"/>
      <c r="P366" s="2440"/>
      <c r="Q366" s="2440"/>
      <c r="R366" s="2440"/>
      <c r="S366" s="2440"/>
      <c r="T366" s="2440"/>
      <c r="U366" s="2440"/>
      <c r="V366" s="2440"/>
      <c r="W366" s="2440"/>
      <c r="X366" s="2440"/>
      <c r="Y366" s="2440"/>
      <c r="Z366" s="2440"/>
      <c r="AA366" s="2440"/>
      <c r="AB366" s="2440"/>
      <c r="AC366" s="2440"/>
      <c r="AD366" s="2440"/>
      <c r="AE366" s="2440"/>
      <c r="AF366" s="2440"/>
      <c r="AG366" s="2440"/>
      <c r="AH366" s="2440"/>
      <c r="AI366" s="2440"/>
      <c r="AJ366" s="2440"/>
      <c r="AK366" s="501"/>
      <c r="AL366" s="501"/>
      <c r="AM366" s="501"/>
      <c r="AN366" s="495"/>
      <c r="AQ366" s="468"/>
      <c r="AR366" s="468"/>
    </row>
    <row r="367" spans="1:44" s="449" customFormat="1" ht="12.75" customHeight="1">
      <c r="A367" s="501"/>
      <c r="B367" s="509"/>
      <c r="C367" s="2440"/>
      <c r="D367" s="2440"/>
      <c r="E367" s="2440"/>
      <c r="F367" s="2440"/>
      <c r="G367" s="2440"/>
      <c r="H367" s="2440"/>
      <c r="I367" s="2440"/>
      <c r="J367" s="2440"/>
      <c r="K367" s="2440"/>
      <c r="L367" s="2440"/>
      <c r="M367" s="2440"/>
      <c r="N367" s="2440"/>
      <c r="O367" s="2440"/>
      <c r="P367" s="2440"/>
      <c r="Q367" s="2440"/>
      <c r="R367" s="2440"/>
      <c r="S367" s="2440"/>
      <c r="T367" s="2440"/>
      <c r="U367" s="2440"/>
      <c r="V367" s="2440"/>
      <c r="W367" s="2440"/>
      <c r="X367" s="2440"/>
      <c r="Y367" s="2440"/>
      <c r="Z367" s="2440"/>
      <c r="AA367" s="2440"/>
      <c r="AB367" s="2440"/>
      <c r="AC367" s="2440"/>
      <c r="AD367" s="2440"/>
      <c r="AE367" s="2440"/>
      <c r="AF367" s="2440"/>
      <c r="AG367" s="2440"/>
      <c r="AH367" s="2440"/>
      <c r="AI367" s="2440"/>
      <c r="AJ367" s="2440"/>
      <c r="AK367" s="501"/>
      <c r="AL367" s="501"/>
      <c r="AM367" s="501"/>
      <c r="AN367" s="495"/>
      <c r="AQ367" s="468"/>
      <c r="AR367" s="468"/>
    </row>
    <row r="368" spans="1:44" s="449" customFormat="1" ht="13.15" customHeight="1">
      <c r="A368" s="501"/>
      <c r="B368" s="509"/>
      <c r="C368" s="2440"/>
      <c r="D368" s="2440"/>
      <c r="E368" s="2440"/>
      <c r="F368" s="2440"/>
      <c r="G368" s="2440"/>
      <c r="H368" s="2440"/>
      <c r="I368" s="2440"/>
      <c r="J368" s="2440"/>
      <c r="K368" s="2440"/>
      <c r="L368" s="2440"/>
      <c r="M368" s="2440"/>
      <c r="N368" s="2440"/>
      <c r="O368" s="2440"/>
      <c r="P368" s="2440"/>
      <c r="Q368" s="2440"/>
      <c r="R368" s="2440"/>
      <c r="S368" s="2440"/>
      <c r="T368" s="2440"/>
      <c r="U368" s="2440"/>
      <c r="V368" s="2440"/>
      <c r="W368" s="2440"/>
      <c r="X368" s="2440"/>
      <c r="Y368" s="2440"/>
      <c r="Z368" s="2440"/>
      <c r="AA368" s="2440"/>
      <c r="AB368" s="2440"/>
      <c r="AC368" s="2440"/>
      <c r="AD368" s="2440"/>
      <c r="AE368" s="2440"/>
      <c r="AF368" s="2440"/>
      <c r="AG368" s="2440"/>
      <c r="AH368" s="2440"/>
      <c r="AI368" s="2440"/>
      <c r="AJ368" s="2440"/>
      <c r="AK368" s="501"/>
      <c r="AL368" s="501"/>
      <c r="AM368" s="501"/>
      <c r="AN368" s="495"/>
      <c r="AQ368" s="468"/>
      <c r="AR368" s="468"/>
    </row>
    <row r="369" spans="1:46" s="449" customFormat="1" ht="12.75" customHeight="1">
      <c r="A369" s="501"/>
      <c r="B369" s="509"/>
      <c r="C369" s="2440"/>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501"/>
      <c r="AL369" s="501"/>
      <c r="AM369" s="501"/>
      <c r="AN369" s="495"/>
      <c r="AO369" s="590"/>
      <c r="AP369" s="590"/>
      <c r="AQ369" s="468"/>
    </row>
    <row r="370" spans="1:46" s="449" customFormat="1" ht="11.85" customHeight="1">
      <c r="A370" s="501"/>
      <c r="B370" s="509"/>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501"/>
      <c r="AL370" s="501"/>
      <c r="AM370" s="501"/>
      <c r="AN370" s="495"/>
      <c r="AO370" s="591" t="s">
        <v>18</v>
      </c>
      <c r="AP370" s="592">
        <f>IF(C394="Yes",5,0)</f>
        <v>5</v>
      </c>
      <c r="AS370" s="439" t="s">
        <v>2354</v>
      </c>
    </row>
    <row r="371" spans="1:46" s="449" customFormat="1" ht="12.75" customHeight="1">
      <c r="A371" s="501"/>
      <c r="B371" s="509"/>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501"/>
      <c r="AL371" s="501"/>
      <c r="AM371" s="501"/>
      <c r="AN371" s="495"/>
      <c r="AO371" s="591" t="s">
        <v>31</v>
      </c>
      <c r="AP371" s="592">
        <f>IF(C402="Yes",5,0)</f>
        <v>0</v>
      </c>
      <c r="AS371" s="2470">
        <f>IF(Application!D211="Non-Targeted",(SUM(AQ379+AQ388)),AS375)</f>
        <v>10</v>
      </c>
      <c r="AT371" s="2470"/>
    </row>
    <row r="372" spans="1:46" s="449" customFormat="1" ht="12.75" customHeight="1">
      <c r="A372" s="501"/>
      <c r="B372" s="509"/>
      <c r="C372" s="2440"/>
      <c r="D372" s="2440"/>
      <c r="E372" s="2440"/>
      <c r="F372" s="2440"/>
      <c r="G372" s="2440"/>
      <c r="H372" s="2440"/>
      <c r="I372" s="2440"/>
      <c r="J372" s="2440"/>
      <c r="K372" s="2440"/>
      <c r="L372" s="2440"/>
      <c r="M372" s="2440"/>
      <c r="N372" s="2440"/>
      <c r="O372" s="2440"/>
      <c r="P372" s="2440"/>
      <c r="Q372" s="2440"/>
      <c r="R372" s="2440"/>
      <c r="S372" s="2440"/>
      <c r="T372" s="2440"/>
      <c r="U372" s="2440"/>
      <c r="V372" s="2440"/>
      <c r="W372" s="2440"/>
      <c r="X372" s="2440"/>
      <c r="Y372" s="2440"/>
      <c r="Z372" s="2440"/>
      <c r="AA372" s="2440"/>
      <c r="AB372" s="2440"/>
      <c r="AC372" s="2440"/>
      <c r="AD372" s="2440"/>
      <c r="AE372" s="2440"/>
      <c r="AF372" s="2440"/>
      <c r="AG372" s="2440"/>
      <c r="AH372" s="2440"/>
      <c r="AI372" s="2440"/>
      <c r="AJ372" s="2440"/>
      <c r="AK372" s="501"/>
      <c r="AL372" s="501"/>
      <c r="AM372" s="501"/>
      <c r="AN372" s="495"/>
      <c r="AO372" s="591" t="s">
        <v>39</v>
      </c>
      <c r="AP372" s="592">
        <f>IF(C410="Yes",7,0)</f>
        <v>0</v>
      </c>
      <c r="AS372" s="439" t="s">
        <v>2355</v>
      </c>
    </row>
    <row r="373" spans="1:46" s="449" customFormat="1" ht="12.75" customHeight="1">
      <c r="B373" s="509"/>
      <c r="C373" s="2440"/>
      <c r="D373" s="2440"/>
      <c r="E373" s="2440"/>
      <c r="F373" s="2440"/>
      <c r="G373" s="2440"/>
      <c r="H373" s="2440"/>
      <c r="I373" s="2440"/>
      <c r="J373" s="2440"/>
      <c r="K373" s="2440"/>
      <c r="L373" s="2440"/>
      <c r="M373" s="2440"/>
      <c r="N373" s="2440"/>
      <c r="O373" s="2440"/>
      <c r="P373" s="2440"/>
      <c r="Q373" s="2440"/>
      <c r="R373" s="2440"/>
      <c r="S373" s="2440"/>
      <c r="T373" s="2440"/>
      <c r="U373" s="2440"/>
      <c r="V373" s="2440"/>
      <c r="W373" s="2440"/>
      <c r="X373" s="2440"/>
      <c r="Y373" s="2440"/>
      <c r="Z373" s="2440"/>
      <c r="AA373" s="2440"/>
      <c r="AB373" s="2440"/>
      <c r="AC373" s="2440"/>
      <c r="AD373" s="2440"/>
      <c r="AE373" s="2440"/>
      <c r="AF373" s="2440"/>
      <c r="AG373" s="2440"/>
      <c r="AH373" s="2440"/>
      <c r="AI373" s="2440"/>
      <c r="AJ373" s="2440"/>
      <c r="AK373" s="501"/>
      <c r="AL373" s="501"/>
      <c r="AM373" s="501"/>
      <c r="AN373" s="495"/>
      <c r="AO373" s="495"/>
      <c r="AP373" s="592">
        <f>IF(C412="Yes",5,0)</f>
        <v>5</v>
      </c>
      <c r="AS373" s="2470">
        <f>IF(AND(AQ379&gt;0,AQ388&gt;0),(AQ379+AQ388)/2,0)</f>
        <v>0</v>
      </c>
      <c r="AT373" s="2470"/>
    </row>
    <row r="374" spans="1:46" s="449" customFormat="1" ht="12.75" customHeight="1">
      <c r="A374" s="501"/>
      <c r="B374" s="509"/>
      <c r="C374" s="2440"/>
      <c r="D374" s="2440"/>
      <c r="E374" s="2440"/>
      <c r="F374" s="2440"/>
      <c r="G374" s="2440"/>
      <c r="H374" s="2440"/>
      <c r="I374" s="2440"/>
      <c r="J374" s="2440"/>
      <c r="K374" s="2440"/>
      <c r="L374" s="2440"/>
      <c r="M374" s="2440"/>
      <c r="N374" s="2440"/>
      <c r="O374" s="2440"/>
      <c r="P374" s="2440"/>
      <c r="Q374" s="2440"/>
      <c r="R374" s="2440"/>
      <c r="S374" s="2440"/>
      <c r="T374" s="2440"/>
      <c r="U374" s="2440"/>
      <c r="V374" s="2440"/>
      <c r="W374" s="2440"/>
      <c r="X374" s="2440"/>
      <c r="Y374" s="2440"/>
      <c r="Z374" s="2440"/>
      <c r="AA374" s="2440"/>
      <c r="AB374" s="2440"/>
      <c r="AC374" s="2440"/>
      <c r="AD374" s="2440"/>
      <c r="AE374" s="2440"/>
      <c r="AF374" s="2440"/>
      <c r="AG374" s="2440"/>
      <c r="AH374" s="2440"/>
      <c r="AI374" s="2440"/>
      <c r="AJ374" s="2440"/>
      <c r="AK374" s="501"/>
      <c r="AL374" s="501"/>
      <c r="AM374" s="501"/>
      <c r="AN374" s="495"/>
      <c r="AO374" s="591" t="s">
        <v>82</v>
      </c>
      <c r="AP374" s="592">
        <f>IF(C420="Yes",5,0)</f>
        <v>0</v>
      </c>
      <c r="AS374" s="439" t="s">
        <v>2356</v>
      </c>
    </row>
    <row r="375" spans="1:46" s="449" customFormat="1" ht="12.75" customHeight="1">
      <c r="A375" s="501"/>
      <c r="B375" s="509"/>
      <c r="C375" s="2471" t="s">
        <v>2357</v>
      </c>
      <c r="D375" s="2471"/>
      <c r="E375" s="2471"/>
      <c r="F375" s="2471"/>
      <c r="G375" s="2471"/>
      <c r="H375" s="2471"/>
      <c r="I375" s="2471"/>
      <c r="J375" s="2471"/>
      <c r="K375" s="2471"/>
      <c r="L375" s="2471"/>
      <c r="M375" s="2471"/>
      <c r="N375" s="2471"/>
      <c r="O375" s="2471"/>
      <c r="P375" s="2471"/>
      <c r="Q375" s="2471"/>
      <c r="R375" s="2471"/>
      <c r="S375" s="2471"/>
      <c r="T375" s="2471"/>
      <c r="U375" s="2471"/>
      <c r="V375" s="2471"/>
      <c r="W375" s="2471"/>
      <c r="X375" s="2471"/>
      <c r="Y375" s="2471"/>
      <c r="Z375" s="2471"/>
      <c r="AA375" s="2471"/>
      <c r="AB375" s="2471"/>
      <c r="AC375" s="2471"/>
      <c r="AD375" s="2471"/>
      <c r="AE375" s="2471"/>
      <c r="AF375" s="2471"/>
      <c r="AG375" s="2471"/>
      <c r="AH375" s="2471"/>
      <c r="AI375" s="2471"/>
      <c r="AJ375" s="2471"/>
      <c r="AK375" s="501"/>
      <c r="AL375" s="501"/>
      <c r="AM375" s="501"/>
      <c r="AN375" s="495"/>
      <c r="AO375" s="495"/>
      <c r="AP375" s="592">
        <f>IF(C422="Yes",3,0)</f>
        <v>0</v>
      </c>
      <c r="AS375" s="2470">
        <f>IF(AQ379=0,AQ388,AQ379)</f>
        <v>10</v>
      </c>
      <c r="AT375" s="2470"/>
    </row>
    <row r="376" spans="1:46" s="449" customFormat="1" ht="12.75" customHeight="1">
      <c r="A376" s="501"/>
      <c r="B376" s="509"/>
      <c r="C376" s="2471"/>
      <c r="D376" s="2471"/>
      <c r="E376" s="2471"/>
      <c r="F376" s="2471"/>
      <c r="G376" s="2471"/>
      <c r="H376" s="2471"/>
      <c r="I376" s="2471"/>
      <c r="J376" s="2471"/>
      <c r="K376" s="2471"/>
      <c r="L376" s="2471"/>
      <c r="M376" s="2471"/>
      <c r="N376" s="2471"/>
      <c r="O376" s="2471"/>
      <c r="P376" s="2471"/>
      <c r="Q376" s="2471"/>
      <c r="R376" s="2471"/>
      <c r="S376" s="2471"/>
      <c r="T376" s="2471"/>
      <c r="U376" s="2471"/>
      <c r="V376" s="2471"/>
      <c r="W376" s="2471"/>
      <c r="X376" s="2471"/>
      <c r="Y376" s="2471"/>
      <c r="Z376" s="2471"/>
      <c r="AA376" s="2471"/>
      <c r="AB376" s="2471"/>
      <c r="AC376" s="2471"/>
      <c r="AD376" s="2471"/>
      <c r="AE376" s="2471"/>
      <c r="AF376" s="2471"/>
      <c r="AG376" s="2471"/>
      <c r="AH376" s="2471"/>
      <c r="AI376" s="2471"/>
      <c r="AJ376" s="2471"/>
      <c r="AK376" s="501"/>
      <c r="AL376" s="501"/>
      <c r="AM376" s="501"/>
      <c r="AN376" s="495"/>
      <c r="AO376" s="591" t="s">
        <v>86</v>
      </c>
      <c r="AP376" s="592">
        <f>IF(C425="Yes",5,0)</f>
        <v>0</v>
      </c>
    </row>
    <row r="377" spans="1:46" s="449" customFormat="1" ht="12.75" customHeight="1">
      <c r="A377" s="501"/>
      <c r="B377" s="509"/>
      <c r="C377" s="2471"/>
      <c r="D377" s="2471"/>
      <c r="E377" s="2471"/>
      <c r="F377" s="2471"/>
      <c r="G377" s="2471"/>
      <c r="H377" s="2471"/>
      <c r="I377" s="2471"/>
      <c r="J377" s="2471"/>
      <c r="K377" s="2471"/>
      <c r="L377" s="2471"/>
      <c r="M377" s="2471"/>
      <c r="N377" s="2471"/>
      <c r="O377" s="2471"/>
      <c r="P377" s="2471"/>
      <c r="Q377" s="2471"/>
      <c r="R377" s="2471"/>
      <c r="S377" s="2471"/>
      <c r="T377" s="2471"/>
      <c r="U377" s="2471"/>
      <c r="V377" s="2471"/>
      <c r="W377" s="2471"/>
      <c r="X377" s="2471"/>
      <c r="Y377" s="2471"/>
      <c r="Z377" s="2471"/>
      <c r="AA377" s="2471"/>
      <c r="AB377" s="2471"/>
      <c r="AC377" s="2471"/>
      <c r="AD377" s="2471"/>
      <c r="AE377" s="2471"/>
      <c r="AF377" s="2471"/>
      <c r="AG377" s="2471"/>
      <c r="AH377" s="2471"/>
      <c r="AI377" s="2471"/>
      <c r="AJ377" s="2471"/>
      <c r="AK377" s="501"/>
      <c r="AL377" s="501"/>
      <c r="AM377" s="501"/>
      <c r="AN377" s="495"/>
      <c r="AO377" s="591" t="s">
        <v>1426</v>
      </c>
      <c r="AP377" s="592">
        <f>IF(C434="Yes",5,0)</f>
        <v>0</v>
      </c>
    </row>
    <row r="378" spans="1:46" s="449" customFormat="1" ht="11.85" customHeight="1">
      <c r="A378" s="501"/>
      <c r="B378" s="509"/>
      <c r="C378" s="2471"/>
      <c r="D378" s="2471"/>
      <c r="E378" s="2471"/>
      <c r="F378" s="2471"/>
      <c r="G378" s="2471"/>
      <c r="H378" s="2471"/>
      <c r="I378" s="2471"/>
      <c r="J378" s="2471"/>
      <c r="K378" s="2471"/>
      <c r="L378" s="2471"/>
      <c r="M378" s="2471"/>
      <c r="N378" s="2471"/>
      <c r="O378" s="2471"/>
      <c r="P378" s="2471"/>
      <c r="Q378" s="2471"/>
      <c r="R378" s="2471"/>
      <c r="S378" s="2471"/>
      <c r="T378" s="2471"/>
      <c r="U378" s="2471"/>
      <c r="V378" s="2471"/>
      <c r="W378" s="2471"/>
      <c r="X378" s="2471"/>
      <c r="Y378" s="2471"/>
      <c r="Z378" s="2471"/>
      <c r="AA378" s="2471"/>
      <c r="AB378" s="2471"/>
      <c r="AC378" s="2471"/>
      <c r="AD378" s="2471"/>
      <c r="AE378" s="2471"/>
      <c r="AF378" s="2471"/>
      <c r="AG378" s="2471"/>
      <c r="AH378" s="2471"/>
      <c r="AI378" s="2471"/>
      <c r="AJ378" s="2471"/>
      <c r="AK378" s="501"/>
      <c r="AL378" s="501"/>
      <c r="AM378" s="501"/>
      <c r="AN378" s="495"/>
      <c r="AO378" s="593"/>
      <c r="AP378" s="594">
        <f>IF(C436="Yes",3,0)</f>
        <v>0</v>
      </c>
    </row>
    <row r="379" spans="1:46" s="449" customFormat="1" ht="12.4" customHeight="1">
      <c r="A379" s="501"/>
      <c r="B379" s="509"/>
      <c r="C379" s="2471"/>
      <c r="D379" s="2471"/>
      <c r="E379" s="2471"/>
      <c r="F379" s="2471"/>
      <c r="G379" s="2471"/>
      <c r="H379" s="2471"/>
      <c r="I379" s="2471"/>
      <c r="J379" s="2471"/>
      <c r="K379" s="2471"/>
      <c r="L379" s="2471"/>
      <c r="M379" s="2471"/>
      <c r="N379" s="2471"/>
      <c r="O379" s="2471"/>
      <c r="P379" s="2471"/>
      <c r="Q379" s="2471"/>
      <c r="R379" s="2471"/>
      <c r="S379" s="2471"/>
      <c r="T379" s="2471"/>
      <c r="U379" s="2471"/>
      <c r="V379" s="2471"/>
      <c r="W379" s="2471"/>
      <c r="X379" s="2471"/>
      <c r="Y379" s="2471"/>
      <c r="Z379" s="2471"/>
      <c r="AA379" s="2471"/>
      <c r="AB379" s="2471"/>
      <c r="AC379" s="2471"/>
      <c r="AD379" s="2471"/>
      <c r="AE379" s="2471"/>
      <c r="AF379" s="2471"/>
      <c r="AG379" s="2471"/>
      <c r="AH379" s="2471"/>
      <c r="AI379" s="2471"/>
      <c r="AJ379" s="2471"/>
      <c r="AK379" s="501"/>
      <c r="AL379" s="501"/>
      <c r="AM379" s="501"/>
      <c r="AN379" s="495"/>
      <c r="AO379" s="595" t="s">
        <v>2358</v>
      </c>
      <c r="AP379" s="596">
        <f>SUM(AP370:AP378)</f>
        <v>10</v>
      </c>
      <c r="AQ379" s="2472">
        <f>IF(AP379&gt;0,AP379,0)</f>
        <v>10</v>
      </c>
      <c r="AR379" s="2472"/>
    </row>
    <row r="380" spans="1:46" s="449" customFormat="1" ht="12.75" customHeight="1">
      <c r="A380" s="501"/>
      <c r="B380" s="509"/>
      <c r="C380" s="2471"/>
      <c r="D380" s="2471"/>
      <c r="E380" s="2471"/>
      <c r="F380" s="2471"/>
      <c r="G380" s="2471"/>
      <c r="H380" s="2471"/>
      <c r="I380" s="2471"/>
      <c r="J380" s="2471"/>
      <c r="K380" s="2471"/>
      <c r="L380" s="2471"/>
      <c r="M380" s="2471"/>
      <c r="N380" s="2471"/>
      <c r="O380" s="2471"/>
      <c r="P380" s="2471"/>
      <c r="Q380" s="2471"/>
      <c r="R380" s="2471"/>
      <c r="S380" s="2471"/>
      <c r="T380" s="2471"/>
      <c r="U380" s="2471"/>
      <c r="V380" s="2471"/>
      <c r="W380" s="2471"/>
      <c r="X380" s="2471"/>
      <c r="Y380" s="2471"/>
      <c r="Z380" s="2471"/>
      <c r="AA380" s="2471"/>
      <c r="AB380" s="2471"/>
      <c r="AC380" s="2471"/>
      <c r="AD380" s="2471"/>
      <c r="AE380" s="2471"/>
      <c r="AF380" s="2471"/>
      <c r="AG380" s="2471"/>
      <c r="AH380" s="2471"/>
      <c r="AI380" s="2471"/>
      <c r="AJ380" s="247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1428</v>
      </c>
      <c r="AP381" s="592">
        <f>IF(C443="Yes",5,0)</f>
        <v>0</v>
      </c>
    </row>
    <row r="382" spans="1:46" s="449" customFormat="1" ht="12.75" customHeight="1">
      <c r="A382" s="501"/>
      <c r="B382" s="509"/>
      <c r="C382" s="2440" t="s">
        <v>2359</v>
      </c>
      <c r="D382" s="2440"/>
      <c r="E382" s="2440"/>
      <c r="F382" s="2440"/>
      <c r="G382" s="2440"/>
      <c r="H382" s="2440"/>
      <c r="I382" s="2440"/>
      <c r="J382" s="2440"/>
      <c r="K382" s="2440"/>
      <c r="L382" s="2440"/>
      <c r="M382" s="2440"/>
      <c r="N382" s="2440"/>
      <c r="O382" s="2440"/>
      <c r="P382" s="2440"/>
      <c r="Q382" s="2440"/>
      <c r="R382" s="2440"/>
      <c r="S382" s="2440"/>
      <c r="T382" s="2440"/>
      <c r="U382" s="2440"/>
      <c r="V382" s="2440"/>
      <c r="W382" s="2440"/>
      <c r="X382" s="2440"/>
      <c r="Y382" s="2440"/>
      <c r="Z382" s="2440"/>
      <c r="AA382" s="2440"/>
      <c r="AB382" s="2440"/>
      <c r="AC382" s="2440"/>
      <c r="AD382" s="2440"/>
      <c r="AE382" s="2440"/>
      <c r="AF382" s="2440"/>
      <c r="AG382" s="2440"/>
      <c r="AH382" s="2440"/>
      <c r="AI382" s="2440"/>
      <c r="AJ382" s="2440"/>
      <c r="AK382" s="501"/>
      <c r="AL382" s="501"/>
      <c r="AM382" s="501"/>
      <c r="AN382" s="495"/>
      <c r="AO382" s="591" t="s">
        <v>1430</v>
      </c>
      <c r="AP382" s="592">
        <f>IF(C455="Yes",5,0)</f>
        <v>0</v>
      </c>
    </row>
    <row r="383" spans="1:46" s="449" customFormat="1" ht="12.75" customHeight="1">
      <c r="A383" s="501"/>
      <c r="B383" s="509"/>
      <c r="C383" s="2440"/>
      <c r="D383" s="2440"/>
      <c r="E383" s="2440"/>
      <c r="F383" s="2440"/>
      <c r="G383" s="2440"/>
      <c r="H383" s="2440"/>
      <c r="I383" s="2440"/>
      <c r="J383" s="2440"/>
      <c r="K383" s="2440"/>
      <c r="L383" s="2440"/>
      <c r="M383" s="2440"/>
      <c r="N383" s="2440"/>
      <c r="O383" s="2440"/>
      <c r="P383" s="2440"/>
      <c r="Q383" s="2440"/>
      <c r="R383" s="2440"/>
      <c r="S383" s="2440"/>
      <c r="T383" s="2440"/>
      <c r="U383" s="2440"/>
      <c r="V383" s="2440"/>
      <c r="W383" s="2440"/>
      <c r="X383" s="2440"/>
      <c r="Y383" s="2440"/>
      <c r="Z383" s="2440"/>
      <c r="AA383" s="2440"/>
      <c r="AB383" s="2440"/>
      <c r="AC383" s="2440"/>
      <c r="AD383" s="2440"/>
      <c r="AE383" s="2440"/>
      <c r="AF383" s="2440"/>
      <c r="AG383" s="2440"/>
      <c r="AH383" s="2440"/>
      <c r="AI383" s="2440"/>
      <c r="AJ383" s="2440"/>
      <c r="AK383" s="501"/>
      <c r="AL383" s="501"/>
      <c r="AM383" s="501"/>
      <c r="AN383" s="495"/>
      <c r="AO383" s="591" t="s">
        <v>1432</v>
      </c>
      <c r="AP383" s="592">
        <f>IF(C462="Yes",5,0)</f>
        <v>0</v>
      </c>
    </row>
    <row r="384" spans="1:46" s="449" customFormat="1" ht="68.099999999999994" customHeight="1">
      <c r="A384" s="501"/>
      <c r="B384" s="509"/>
      <c r="C384" s="2440"/>
      <c r="D384" s="2440"/>
      <c r="E384" s="2440"/>
      <c r="F384" s="2440"/>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2440"/>
      <c r="AH384" s="2440"/>
      <c r="AI384" s="2440"/>
      <c r="AJ384" s="2440"/>
      <c r="AK384" s="501"/>
      <c r="AL384" s="501"/>
      <c r="AM384" s="501"/>
      <c r="AN384" s="495"/>
      <c r="AO384" s="591" t="s">
        <v>1433</v>
      </c>
      <c r="AP384" s="597">
        <f>IF(C466="Yes",5,0)</f>
        <v>0</v>
      </c>
    </row>
    <row r="385" spans="1:81" s="449" customFormat="1" ht="12.4" customHeight="1">
      <c r="B385" s="509"/>
      <c r="C385" s="449" t="s">
        <v>2360</v>
      </c>
      <c r="AF385" s="501"/>
      <c r="AG385" s="501"/>
      <c r="AH385" s="501"/>
      <c r="AI385" s="501"/>
      <c r="AJ385" s="501"/>
      <c r="AK385" s="501"/>
      <c r="AL385" s="501"/>
      <c r="AM385" s="501"/>
      <c r="AN385" s="495"/>
      <c r="AO385" s="591" t="s">
        <v>1434</v>
      </c>
      <c r="AP385" s="592">
        <f>IF(C470="Yes",5,0)</f>
        <v>0</v>
      </c>
    </row>
    <row r="386" spans="1:81" s="449" customFormat="1" ht="12.75" customHeight="1">
      <c r="A386" s="501"/>
      <c r="B386" s="509"/>
      <c r="C386" s="598" t="s">
        <v>2361</v>
      </c>
      <c r="D386" s="599"/>
      <c r="E386" s="599"/>
      <c r="F386" s="599"/>
      <c r="G386" s="599"/>
      <c r="H386" s="599"/>
      <c r="I386" s="599"/>
      <c r="J386" s="599"/>
      <c r="K386" s="599"/>
      <c r="L386" s="599"/>
      <c r="M386" s="563"/>
      <c r="N386" s="563"/>
      <c r="O386" s="600"/>
      <c r="P386" s="599"/>
      <c r="Q386" s="599"/>
      <c r="R386" s="563"/>
      <c r="S386" s="563"/>
      <c r="T386" s="599"/>
      <c r="U386" s="2536">
        <f>Application!DU810-U387</f>
        <v>147</v>
      </c>
      <c r="V386" s="2536"/>
      <c r="W386" s="2536"/>
      <c r="X386" s="599"/>
      <c r="Y386" s="599"/>
      <c r="Z386" s="599"/>
      <c r="AA386" s="601"/>
      <c r="AB386" s="602"/>
      <c r="AC386" s="602"/>
      <c r="AD386" s="602"/>
      <c r="AE386" s="501"/>
      <c r="AF386" s="501"/>
      <c r="AG386" s="501"/>
      <c r="AH386" s="501"/>
      <c r="AI386" s="501"/>
      <c r="AJ386" s="501"/>
      <c r="AK386" s="501"/>
      <c r="AL386" s="501"/>
      <c r="AM386" s="501"/>
      <c r="AN386" s="495"/>
      <c r="AO386" s="591" t="s">
        <v>1435</v>
      </c>
      <c r="AP386" s="592">
        <f>IF(C479="Yes",5,0)</f>
        <v>0</v>
      </c>
    </row>
    <row r="387" spans="1:81" s="449" customFormat="1" ht="12.75" customHeight="1">
      <c r="A387" s="501"/>
      <c r="B387" s="509"/>
      <c r="C387" s="603" t="s">
        <v>2362</v>
      </c>
      <c r="D387" s="590"/>
      <c r="E387" s="590"/>
      <c r="F387" s="590"/>
      <c r="G387" s="590"/>
      <c r="H387" s="590"/>
      <c r="I387" s="590"/>
      <c r="J387" s="590"/>
      <c r="K387" s="590"/>
      <c r="L387" s="590"/>
      <c r="M387" s="590"/>
      <c r="N387" s="590"/>
      <c r="O387" s="590"/>
      <c r="P387" s="590"/>
      <c r="Q387" s="590"/>
      <c r="R387" s="590"/>
      <c r="S387" s="590"/>
      <c r="T387" s="590"/>
      <c r="U387" s="2537">
        <f>IF(Application!D211="SRO",Application!DU763,Application!AG764)</f>
        <v>35</v>
      </c>
      <c r="V387" s="2537"/>
      <c r="W387" s="2537"/>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2358</v>
      </c>
      <c r="AP388" s="607">
        <f>SUM(AP381:AP386)</f>
        <v>0</v>
      </c>
      <c r="AQ388" s="2472">
        <f>IF(AP388&gt;0,AP388,0)</f>
        <v>0</v>
      </c>
      <c r="AR388" s="2472"/>
    </row>
    <row r="389" spans="1:81" s="449" customFormat="1" ht="12.75" customHeight="1">
      <c r="A389" s="501"/>
      <c r="B389" s="13"/>
      <c r="C389" s="608" t="s">
        <v>2363</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2181</v>
      </c>
      <c r="F390" s="2444" t="s">
        <v>2364</v>
      </c>
      <c r="G390" s="2444"/>
      <c r="H390" s="2444"/>
      <c r="I390" s="2444"/>
      <c r="J390" s="2444"/>
      <c r="K390" s="2444"/>
      <c r="L390" s="2444"/>
      <c r="M390" s="2444"/>
      <c r="N390" s="2444"/>
      <c r="O390" s="2444"/>
      <c r="P390" s="2444"/>
      <c r="Q390" s="2444"/>
      <c r="R390" s="2444"/>
      <c r="S390" s="2444"/>
      <c r="T390" s="2444"/>
      <c r="U390" s="2444"/>
      <c r="V390" s="2444"/>
      <c r="W390" s="2444"/>
      <c r="X390" s="2444"/>
      <c r="Y390" s="2444"/>
      <c r="Z390" s="2444"/>
      <c r="AA390" s="2444"/>
      <c r="AB390" s="2444"/>
      <c r="AC390" s="2444"/>
      <c r="AD390" s="2444"/>
      <c r="AE390" s="2444"/>
      <c r="AF390" s="2444"/>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7"/>
      <c r="G391" s="2317"/>
      <c r="H391" s="2317"/>
      <c r="I391" s="2317"/>
      <c r="J391" s="2317"/>
      <c r="K391" s="2317"/>
      <c r="L391" s="2317"/>
      <c r="M391" s="2317"/>
      <c r="N391" s="2317"/>
      <c r="O391" s="2317"/>
      <c r="P391" s="2317"/>
      <c r="Q391" s="2317"/>
      <c r="R391" s="2317"/>
      <c r="S391" s="2317"/>
      <c r="T391" s="2317"/>
      <c r="U391" s="2317"/>
      <c r="V391" s="2317"/>
      <c r="W391" s="2317"/>
      <c r="X391" s="2317"/>
      <c r="Y391" s="2317"/>
      <c r="Z391" s="2317"/>
      <c r="AA391" s="2317"/>
      <c r="AB391" s="2317"/>
      <c r="AC391" s="2317"/>
      <c r="AD391" s="2317"/>
      <c r="AE391" s="2317"/>
      <c r="AF391" s="2317"/>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7"/>
      <c r="G392" s="2317"/>
      <c r="H392" s="2317"/>
      <c r="I392" s="2317"/>
      <c r="J392" s="2317"/>
      <c r="K392" s="2317"/>
      <c r="L392" s="2317"/>
      <c r="M392" s="2317"/>
      <c r="N392" s="2317"/>
      <c r="O392" s="2317"/>
      <c r="P392" s="2317"/>
      <c r="Q392" s="2317"/>
      <c r="R392" s="2317"/>
      <c r="S392" s="2317"/>
      <c r="T392" s="2317"/>
      <c r="U392" s="2317"/>
      <c r="V392" s="2317"/>
      <c r="W392" s="2317"/>
      <c r="X392" s="2317"/>
      <c r="Y392" s="2317"/>
      <c r="Z392" s="2317"/>
      <c r="AA392" s="2317"/>
      <c r="AB392" s="2317"/>
      <c r="AC392" s="2317"/>
      <c r="AD392" s="2317"/>
      <c r="AE392" s="2317"/>
      <c r="AF392" s="2317"/>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7"/>
      <c r="G393" s="2317"/>
      <c r="H393" s="2317"/>
      <c r="I393" s="2317"/>
      <c r="J393" s="2317"/>
      <c r="K393" s="2317"/>
      <c r="L393" s="2317"/>
      <c r="M393" s="2317"/>
      <c r="N393" s="2317"/>
      <c r="O393" s="2317"/>
      <c r="P393" s="2317"/>
      <c r="Q393" s="2317"/>
      <c r="R393" s="2317"/>
      <c r="S393" s="2317"/>
      <c r="T393" s="2317"/>
      <c r="U393" s="2317"/>
      <c r="V393" s="2317"/>
      <c r="W393" s="2317"/>
      <c r="X393" s="2317"/>
      <c r="Y393" s="2317"/>
      <c r="Z393" s="2317"/>
      <c r="AA393" s="2317"/>
      <c r="AB393" s="2317"/>
      <c r="AC393" s="2317"/>
      <c r="AD393" s="2317"/>
      <c r="AE393" s="2317"/>
      <c r="AF393" s="2317"/>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1" t="s">
        <v>862</v>
      </c>
      <c r="D394" s="2401"/>
      <c r="E394" s="615"/>
      <c r="F394" s="617" t="s">
        <v>2365</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2" t="s">
        <v>2366</v>
      </c>
      <c r="AG394" s="2442"/>
      <c r="AH394" s="2442"/>
      <c r="AI394" s="2442"/>
      <c r="AJ394" s="2442"/>
      <c r="AK394" s="2442"/>
      <c r="AL394" s="2443"/>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2184</v>
      </c>
      <c r="F397" s="2444" t="s">
        <v>2367</v>
      </c>
      <c r="G397" s="2444"/>
      <c r="H397" s="2444"/>
      <c r="I397" s="2444"/>
      <c r="J397" s="2444"/>
      <c r="K397" s="2444"/>
      <c r="L397" s="2444"/>
      <c r="M397" s="2444"/>
      <c r="N397" s="2444"/>
      <c r="O397" s="2444"/>
      <c r="P397" s="2444"/>
      <c r="Q397" s="2444"/>
      <c r="R397" s="2444"/>
      <c r="S397" s="2444"/>
      <c r="T397" s="2444"/>
      <c r="U397" s="2444"/>
      <c r="V397" s="2444"/>
      <c r="W397" s="2444"/>
      <c r="X397" s="2444"/>
      <c r="Y397" s="2444"/>
      <c r="Z397" s="2444"/>
      <c r="AA397" s="2444"/>
      <c r="AB397" s="2444"/>
      <c r="AC397" s="2444"/>
      <c r="AD397" s="2444"/>
      <c r="AE397" s="2444"/>
      <c r="AF397" s="2444"/>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7"/>
      <c r="G398" s="2317"/>
      <c r="H398" s="2317"/>
      <c r="I398" s="2317"/>
      <c r="J398" s="2317"/>
      <c r="K398" s="2317"/>
      <c r="L398" s="2317"/>
      <c r="M398" s="2317"/>
      <c r="N398" s="2317"/>
      <c r="O398" s="2317"/>
      <c r="P398" s="2317"/>
      <c r="Q398" s="2317"/>
      <c r="R398" s="2317"/>
      <c r="S398" s="2317"/>
      <c r="T398" s="2317"/>
      <c r="U398" s="2317"/>
      <c r="V398" s="2317"/>
      <c r="W398" s="2317"/>
      <c r="X398" s="2317"/>
      <c r="Y398" s="2317"/>
      <c r="Z398" s="2317"/>
      <c r="AA398" s="2317"/>
      <c r="AB398" s="2317"/>
      <c r="AC398" s="2317"/>
      <c r="AD398" s="2317"/>
      <c r="AE398" s="2317"/>
      <c r="AF398" s="2317"/>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7"/>
      <c r="G399" s="2317"/>
      <c r="H399" s="2317"/>
      <c r="I399" s="2317"/>
      <c r="J399" s="2317"/>
      <c r="K399" s="2317"/>
      <c r="L399" s="2317"/>
      <c r="M399" s="2317"/>
      <c r="N399" s="2317"/>
      <c r="O399" s="2317"/>
      <c r="P399" s="2317"/>
      <c r="Q399" s="2317"/>
      <c r="R399" s="2317"/>
      <c r="S399" s="2317"/>
      <c r="T399" s="2317"/>
      <c r="U399" s="2317"/>
      <c r="V399" s="2317"/>
      <c r="W399" s="2317"/>
      <c r="X399" s="2317"/>
      <c r="Y399" s="2317"/>
      <c r="Z399" s="2317"/>
      <c r="AA399" s="2317"/>
      <c r="AB399" s="2317"/>
      <c r="AC399" s="2317"/>
      <c r="AD399" s="2317"/>
      <c r="AE399" s="2317"/>
      <c r="AF399" s="2317"/>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7"/>
      <c r="G400" s="2317"/>
      <c r="H400" s="2317"/>
      <c r="I400" s="2317"/>
      <c r="J400" s="2317"/>
      <c r="K400" s="2317"/>
      <c r="L400" s="2317"/>
      <c r="M400" s="2317"/>
      <c r="N400" s="2317"/>
      <c r="O400" s="2317"/>
      <c r="P400" s="2317"/>
      <c r="Q400" s="2317"/>
      <c r="R400" s="2317"/>
      <c r="S400" s="2317"/>
      <c r="T400" s="2317"/>
      <c r="U400" s="2317"/>
      <c r="V400" s="2317"/>
      <c r="W400" s="2317"/>
      <c r="X400" s="2317"/>
      <c r="Y400" s="2317"/>
      <c r="Z400" s="2317"/>
      <c r="AA400" s="2317"/>
      <c r="AB400" s="2317"/>
      <c r="AC400" s="2317"/>
      <c r="AD400" s="2317"/>
      <c r="AE400" s="2317"/>
      <c r="AF400" s="2317"/>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7"/>
      <c r="G401" s="2317"/>
      <c r="H401" s="2317"/>
      <c r="I401" s="2317"/>
      <c r="J401" s="2317"/>
      <c r="K401" s="2317"/>
      <c r="L401" s="2317"/>
      <c r="M401" s="2317"/>
      <c r="N401" s="2317"/>
      <c r="O401" s="2317"/>
      <c r="P401" s="2317"/>
      <c r="Q401" s="2317"/>
      <c r="R401" s="2317"/>
      <c r="S401" s="2317"/>
      <c r="T401" s="2317"/>
      <c r="U401" s="2317"/>
      <c r="V401" s="2317"/>
      <c r="W401" s="2317"/>
      <c r="X401" s="2317"/>
      <c r="Y401" s="2317"/>
      <c r="Z401" s="2317"/>
      <c r="AA401" s="2317"/>
      <c r="AB401" s="2317"/>
      <c r="AC401" s="2317"/>
      <c r="AD401" s="2317"/>
      <c r="AE401" s="2317"/>
      <c r="AF401" s="2317"/>
      <c r="AL401" s="628"/>
      <c r="AN401" s="495"/>
      <c r="BS401" s="25"/>
      <c r="BT401" s="25"/>
      <c r="BU401" s="13"/>
      <c r="BV401" s="13"/>
      <c r="BW401" s="13"/>
      <c r="BX401" s="13"/>
      <c r="BY401" s="13"/>
      <c r="BZ401" s="13"/>
      <c r="CA401" s="13"/>
      <c r="CB401" s="13"/>
      <c r="CC401" s="13"/>
    </row>
    <row r="402" spans="1:81" s="449" customFormat="1" ht="12.75" customHeight="1">
      <c r="A402" s="436"/>
      <c r="B402" s="13"/>
      <c r="C402" s="2441" t="s">
        <v>826</v>
      </c>
      <c r="D402" s="2401"/>
      <c r="E402" s="587"/>
      <c r="F402" s="617" t="s">
        <v>2368</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2" t="s">
        <v>2366</v>
      </c>
      <c r="AG402" s="2442"/>
      <c r="AH402" s="2442"/>
      <c r="AI402" s="2442"/>
      <c r="AJ402" s="2442"/>
      <c r="AK402" s="2442"/>
      <c r="AL402" s="2443"/>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2189</v>
      </c>
      <c r="F405" s="2444" t="s">
        <v>2369</v>
      </c>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7"/>
      <c r="G406" s="2317"/>
      <c r="H406" s="2317"/>
      <c r="I406" s="2317"/>
      <c r="J406" s="2317"/>
      <c r="K406" s="2317"/>
      <c r="L406" s="2317"/>
      <c r="M406" s="2317"/>
      <c r="N406" s="2317"/>
      <c r="O406" s="2317"/>
      <c r="P406" s="2317"/>
      <c r="Q406" s="2317"/>
      <c r="R406" s="2317"/>
      <c r="S406" s="2317"/>
      <c r="T406" s="2317"/>
      <c r="U406" s="2317"/>
      <c r="V406" s="2317"/>
      <c r="W406" s="2317"/>
      <c r="X406" s="2317"/>
      <c r="Y406" s="2317"/>
      <c r="Z406" s="2317"/>
      <c r="AA406" s="2317"/>
      <c r="AB406" s="2317"/>
      <c r="AC406" s="2317"/>
      <c r="AD406" s="2317"/>
      <c r="AE406" s="2317"/>
      <c r="AF406" s="2317"/>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7"/>
      <c r="G407" s="2317"/>
      <c r="H407" s="2317"/>
      <c r="I407" s="2317"/>
      <c r="J407" s="2317"/>
      <c r="K407" s="2317"/>
      <c r="L407" s="2317"/>
      <c r="M407" s="2317"/>
      <c r="N407" s="2317"/>
      <c r="O407" s="2317"/>
      <c r="P407" s="2317"/>
      <c r="Q407" s="2317"/>
      <c r="R407" s="2317"/>
      <c r="S407" s="2317"/>
      <c r="T407" s="2317"/>
      <c r="U407" s="2317"/>
      <c r="V407" s="2317"/>
      <c r="W407" s="2317"/>
      <c r="X407" s="2317"/>
      <c r="Y407" s="2317"/>
      <c r="Z407" s="2317"/>
      <c r="AA407" s="2317"/>
      <c r="AB407" s="2317"/>
      <c r="AC407" s="2317"/>
      <c r="AD407" s="2317"/>
      <c r="AE407" s="2317"/>
      <c r="AF407" s="2317"/>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7"/>
      <c r="G408" s="2317"/>
      <c r="H408" s="2317"/>
      <c r="I408" s="2317"/>
      <c r="J408" s="2317"/>
      <c r="K408" s="2317"/>
      <c r="L408" s="2317"/>
      <c r="M408" s="2317"/>
      <c r="N408" s="2317"/>
      <c r="O408" s="2317"/>
      <c r="P408" s="2317"/>
      <c r="Q408" s="2317"/>
      <c r="R408" s="2317"/>
      <c r="S408" s="2317"/>
      <c r="T408" s="2317"/>
      <c r="U408" s="2317"/>
      <c r="V408" s="2317"/>
      <c r="W408" s="2317"/>
      <c r="X408" s="2317"/>
      <c r="Y408" s="2317"/>
      <c r="Z408" s="2317"/>
      <c r="AA408" s="2317"/>
      <c r="AB408" s="2317"/>
      <c r="AC408" s="2317"/>
      <c r="AD408" s="2317"/>
      <c r="AE408" s="2317"/>
      <c r="AF408" s="2317"/>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7"/>
      <c r="G409" s="2317"/>
      <c r="H409" s="2317"/>
      <c r="I409" s="2317"/>
      <c r="J409" s="2317"/>
      <c r="K409" s="2317"/>
      <c r="L409" s="2317"/>
      <c r="M409" s="2317"/>
      <c r="N409" s="2317"/>
      <c r="O409" s="2317"/>
      <c r="P409" s="2317"/>
      <c r="Q409" s="2317"/>
      <c r="R409" s="2317"/>
      <c r="S409" s="2317"/>
      <c r="T409" s="2317"/>
      <c r="U409" s="2317"/>
      <c r="V409" s="2317"/>
      <c r="W409" s="2317"/>
      <c r="X409" s="2317"/>
      <c r="Y409" s="2317"/>
      <c r="Z409" s="2317"/>
      <c r="AA409" s="2317"/>
      <c r="AB409" s="2317"/>
      <c r="AC409" s="2317"/>
      <c r="AD409" s="2317"/>
      <c r="AE409" s="2317"/>
      <c r="AF409" s="2317"/>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1" t="s">
        <v>826</v>
      </c>
      <c r="D410" s="2401"/>
      <c r="E410" s="587"/>
      <c r="F410" s="617" t="s">
        <v>2370</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2" t="s">
        <v>2371</v>
      </c>
      <c r="AG410" s="2442"/>
      <c r="AH410" s="2442"/>
      <c r="AI410" s="2442"/>
      <c r="AJ410" s="2442"/>
      <c r="AK410" s="2442"/>
      <c r="AL410" s="2443"/>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1" t="s">
        <v>862</v>
      </c>
      <c r="D412" s="2401"/>
      <c r="E412" s="587"/>
      <c r="F412" s="634" t="s">
        <v>2372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2" t="s">
        <v>2366</v>
      </c>
      <c r="AG412" s="2442"/>
      <c r="AH412" s="2442"/>
      <c r="AI412" s="2442"/>
      <c r="AJ412" s="2442"/>
      <c r="AK412" s="2442"/>
      <c r="AL412" s="2443"/>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2373</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2191</v>
      </c>
      <c r="F416" s="2444" t="s">
        <v>2374</v>
      </c>
      <c r="G416" s="2444"/>
      <c r="H416" s="2444"/>
      <c r="I416" s="2444"/>
      <c r="J416" s="2444"/>
      <c r="K416" s="2444"/>
      <c r="L416" s="2444"/>
      <c r="M416" s="2444"/>
      <c r="N416" s="2444"/>
      <c r="O416" s="2444"/>
      <c r="P416" s="2444"/>
      <c r="Q416" s="2444"/>
      <c r="R416" s="2444"/>
      <c r="S416" s="2444"/>
      <c r="T416" s="2444"/>
      <c r="U416" s="2444"/>
      <c r="V416" s="2444"/>
      <c r="W416" s="2444"/>
      <c r="X416" s="2444"/>
      <c r="Y416" s="2444"/>
      <c r="Z416" s="2444"/>
      <c r="AA416" s="2444"/>
      <c r="AB416" s="2444"/>
      <c r="AC416" s="2444"/>
      <c r="AD416" s="2444"/>
      <c r="AE416" s="2444"/>
      <c r="AF416" s="2444"/>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7"/>
      <c r="G417" s="2317"/>
      <c r="H417" s="2317"/>
      <c r="I417" s="2317"/>
      <c r="J417" s="2317"/>
      <c r="K417" s="2317"/>
      <c r="L417" s="2317"/>
      <c r="M417" s="2317"/>
      <c r="N417" s="2317"/>
      <c r="O417" s="2317"/>
      <c r="P417" s="2317"/>
      <c r="Q417" s="2317"/>
      <c r="R417" s="2317"/>
      <c r="S417" s="2317"/>
      <c r="T417" s="2317"/>
      <c r="U417" s="2317"/>
      <c r="V417" s="2317"/>
      <c r="W417" s="2317"/>
      <c r="X417" s="2317"/>
      <c r="Y417" s="2317"/>
      <c r="Z417" s="2317"/>
      <c r="AA417" s="2317"/>
      <c r="AB417" s="2317"/>
      <c r="AC417" s="2317"/>
      <c r="AD417" s="2317"/>
      <c r="AE417" s="2317"/>
      <c r="AF417" s="2317"/>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7"/>
      <c r="G418" s="2317"/>
      <c r="H418" s="2317"/>
      <c r="I418" s="2317"/>
      <c r="J418" s="2317"/>
      <c r="K418" s="2317"/>
      <c r="L418" s="2317"/>
      <c r="M418" s="2317"/>
      <c r="N418" s="2317"/>
      <c r="O418" s="2317"/>
      <c r="P418" s="2317"/>
      <c r="Q418" s="2317"/>
      <c r="R418" s="2317"/>
      <c r="S418" s="2317"/>
      <c r="T418" s="2317"/>
      <c r="U418" s="2317"/>
      <c r="V418" s="2317"/>
      <c r="W418" s="2317"/>
      <c r="X418" s="2317"/>
      <c r="Y418" s="2317"/>
      <c r="Z418" s="2317"/>
      <c r="AA418" s="2317"/>
      <c r="AB418" s="2317"/>
      <c r="AC418" s="2317"/>
      <c r="AD418" s="2317"/>
      <c r="AE418" s="2317"/>
      <c r="AF418" s="2317"/>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7"/>
      <c r="G419" s="2317"/>
      <c r="H419" s="2317"/>
      <c r="I419" s="2317"/>
      <c r="J419" s="2317"/>
      <c r="K419" s="2317"/>
      <c r="L419" s="2317"/>
      <c r="M419" s="2317"/>
      <c r="N419" s="2317"/>
      <c r="O419" s="2317"/>
      <c r="P419" s="2317"/>
      <c r="Q419" s="2317"/>
      <c r="R419" s="2317"/>
      <c r="S419" s="2317"/>
      <c r="T419" s="2317"/>
      <c r="U419" s="2317"/>
      <c r="V419" s="2317"/>
      <c r="W419" s="2317"/>
      <c r="X419" s="2317"/>
      <c r="Y419" s="2317"/>
      <c r="Z419" s="2317"/>
      <c r="AA419" s="2317"/>
      <c r="AB419" s="2317"/>
      <c r="AC419" s="2317"/>
      <c r="AD419" s="2317"/>
      <c r="AE419" s="2317"/>
      <c r="AF419" s="2317"/>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1" t="s">
        <v>826</v>
      </c>
      <c r="D420" s="2401"/>
      <c r="E420" s="587"/>
      <c r="F420" s="617" t="s">
        <v>2375</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2" t="s">
        <v>2366</v>
      </c>
      <c r="AG420" s="2442"/>
      <c r="AH420" s="2442"/>
      <c r="AI420" s="2442"/>
      <c r="AJ420" s="2442"/>
      <c r="AK420" s="2442"/>
      <c r="AL420" s="2443"/>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1" t="s">
        <v>826</v>
      </c>
      <c r="D422" s="2401"/>
      <c r="E422" s="615"/>
      <c r="F422" s="617" t="s">
        <v>2376</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2" t="s">
        <v>2377</v>
      </c>
      <c r="AG422" s="2442"/>
      <c r="AH422" s="2442"/>
      <c r="AI422" s="2442"/>
      <c r="AJ422" s="2442"/>
      <c r="AK422" s="2442"/>
      <c r="AL422" s="2443"/>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1" t="s">
        <v>826</v>
      </c>
      <c r="D425" s="2401"/>
      <c r="E425" s="611" t="s">
        <v>2378</v>
      </c>
      <c r="F425" s="2444" t="s">
        <v>2379</v>
      </c>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7"/>
      <c r="G426" s="2317"/>
      <c r="H426" s="2317"/>
      <c r="I426" s="2317"/>
      <c r="J426" s="2317"/>
      <c r="K426" s="2317"/>
      <c r="L426" s="2317"/>
      <c r="M426" s="2317"/>
      <c r="N426" s="2317"/>
      <c r="O426" s="2317"/>
      <c r="P426" s="2317"/>
      <c r="Q426" s="2317"/>
      <c r="R426" s="2317"/>
      <c r="S426" s="2317"/>
      <c r="T426" s="2317"/>
      <c r="U426" s="2317"/>
      <c r="V426" s="2317"/>
      <c r="W426" s="2317"/>
      <c r="X426" s="2317"/>
      <c r="Y426" s="2317"/>
      <c r="Z426" s="2317"/>
      <c r="AA426" s="2317"/>
      <c r="AB426" s="2317"/>
      <c r="AC426" s="2317"/>
      <c r="AD426" s="2317"/>
      <c r="AE426" s="2317"/>
      <c r="AF426" s="2379" t="s">
        <v>2366</v>
      </c>
      <c r="AG426" s="2379"/>
      <c r="AH426" s="2379"/>
      <c r="AI426" s="2379"/>
      <c r="AJ426" s="2379"/>
      <c r="AK426" s="2379"/>
      <c r="AL426" s="2445"/>
      <c r="AM426" s="468"/>
      <c r="AN426" s="495"/>
      <c r="BS426" s="468"/>
      <c r="BT426" s="468"/>
      <c r="BY426" s="468"/>
      <c r="BZ426" s="468"/>
      <c r="CA426" s="468"/>
      <c r="CB426" s="468"/>
      <c r="CC426" s="468"/>
    </row>
    <row r="427" spans="1:81" s="449" customFormat="1" ht="12.75" customHeight="1">
      <c r="A427" s="436"/>
      <c r="B427" s="13"/>
      <c r="C427" s="627"/>
      <c r="D427" s="13"/>
      <c r="E427" s="587"/>
      <c r="F427" s="2317"/>
      <c r="G427" s="2317"/>
      <c r="H427" s="2317"/>
      <c r="I427" s="2317"/>
      <c r="J427" s="2317"/>
      <c r="K427" s="2317"/>
      <c r="L427" s="2317"/>
      <c r="M427" s="2317"/>
      <c r="N427" s="2317"/>
      <c r="O427" s="2317"/>
      <c r="P427" s="2317"/>
      <c r="Q427" s="2317"/>
      <c r="R427" s="2317"/>
      <c r="S427" s="2317"/>
      <c r="T427" s="2317"/>
      <c r="U427" s="2317"/>
      <c r="V427" s="2317"/>
      <c r="W427" s="2317"/>
      <c r="X427" s="2317"/>
      <c r="Y427" s="2317"/>
      <c r="Z427" s="2317"/>
      <c r="AA427" s="2317"/>
      <c r="AB427" s="2317"/>
      <c r="AC427" s="2317"/>
      <c r="AD427" s="2317"/>
      <c r="AE427" s="2317"/>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3"/>
      <c r="G428" s="2473"/>
      <c r="H428" s="2473"/>
      <c r="I428" s="2473"/>
      <c r="J428" s="2473"/>
      <c r="K428" s="2473"/>
      <c r="L428" s="2473"/>
      <c r="M428" s="2473"/>
      <c r="N428" s="2473"/>
      <c r="O428" s="2473"/>
      <c r="P428" s="2473"/>
      <c r="Q428" s="2473"/>
      <c r="R428" s="2473"/>
      <c r="S428" s="2473"/>
      <c r="T428" s="2473"/>
      <c r="U428" s="2473"/>
      <c r="V428" s="2473"/>
      <c r="W428" s="2473"/>
      <c r="X428" s="2473"/>
      <c r="Y428" s="2473"/>
      <c r="Z428" s="2473"/>
      <c r="AA428" s="2473"/>
      <c r="AB428" s="2473"/>
      <c r="AC428" s="2473"/>
      <c r="AD428" s="2473"/>
      <c r="AE428" s="2473"/>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2380</v>
      </c>
      <c r="F430" s="2444" t="s">
        <v>2381</v>
      </c>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F430" s="643"/>
      <c r="AG430" s="643"/>
      <c r="AH430" s="643"/>
      <c r="AI430" s="643"/>
      <c r="AJ430" s="643"/>
      <c r="AK430" s="643"/>
      <c r="AL430" s="644"/>
      <c r="AM430" s="468"/>
    </row>
    <row r="431" spans="1:81">
      <c r="A431" s="436"/>
      <c r="C431" s="627"/>
      <c r="E431" s="587"/>
      <c r="F431" s="2317"/>
      <c r="G431" s="2317"/>
      <c r="H431" s="2317"/>
      <c r="I431" s="2317"/>
      <c r="J431" s="2317"/>
      <c r="K431" s="2317"/>
      <c r="L431" s="2317"/>
      <c r="M431" s="2317"/>
      <c r="N431" s="2317"/>
      <c r="O431" s="2317"/>
      <c r="P431" s="2317"/>
      <c r="Q431" s="2317"/>
      <c r="R431" s="2317"/>
      <c r="S431" s="2317"/>
      <c r="T431" s="2317"/>
      <c r="U431" s="2317"/>
      <c r="V431" s="2317"/>
      <c r="W431" s="2317"/>
      <c r="X431" s="2317"/>
      <c r="Y431" s="2317"/>
      <c r="Z431" s="2317"/>
      <c r="AA431" s="2317"/>
      <c r="AB431" s="2317"/>
      <c r="AC431" s="2317"/>
      <c r="AD431" s="2317"/>
      <c r="AE431" s="2317"/>
      <c r="AF431" s="439"/>
      <c r="AG431" s="436"/>
      <c r="AH431" s="449"/>
      <c r="AI431" s="449"/>
      <c r="AJ431" s="449"/>
      <c r="AK431" s="449"/>
      <c r="AL431" s="628"/>
      <c r="AM431" s="468"/>
    </row>
    <row r="432" spans="1:81" s="449" customFormat="1" ht="12.75" customHeight="1">
      <c r="A432" s="436"/>
      <c r="B432" s="13"/>
      <c r="C432" s="627"/>
      <c r="D432" s="13"/>
      <c r="E432" s="587"/>
      <c r="F432" s="2317"/>
      <c r="G432" s="2317"/>
      <c r="H432" s="2317"/>
      <c r="I432" s="2317"/>
      <c r="J432" s="2317"/>
      <c r="K432" s="2317"/>
      <c r="L432" s="2317"/>
      <c r="M432" s="2317"/>
      <c r="N432" s="2317"/>
      <c r="O432" s="2317"/>
      <c r="P432" s="2317"/>
      <c r="Q432" s="2317"/>
      <c r="R432" s="2317"/>
      <c r="S432" s="2317"/>
      <c r="T432" s="2317"/>
      <c r="U432" s="2317"/>
      <c r="V432" s="2317"/>
      <c r="W432" s="2317"/>
      <c r="X432" s="2317"/>
      <c r="Y432" s="2317"/>
      <c r="Z432" s="2317"/>
      <c r="AA432" s="2317"/>
      <c r="AB432" s="2317"/>
      <c r="AC432" s="2317"/>
      <c r="AD432" s="2317"/>
      <c r="AE432" s="2317"/>
      <c r="AL432" s="628"/>
      <c r="AM432" s="468"/>
      <c r="AN432" s="495"/>
    </row>
    <row r="433" spans="1:60" s="449" customFormat="1" ht="12.75" customHeight="1">
      <c r="A433" s="436"/>
      <c r="B433" s="13"/>
      <c r="C433" s="635"/>
      <c r="F433" s="2317"/>
      <c r="G433" s="2317"/>
      <c r="H433" s="2317"/>
      <c r="I433" s="2317"/>
      <c r="J433" s="2317"/>
      <c r="K433" s="2317"/>
      <c r="L433" s="2317"/>
      <c r="M433" s="2317"/>
      <c r="N433" s="2317"/>
      <c r="O433" s="2317"/>
      <c r="P433" s="2317"/>
      <c r="Q433" s="2317"/>
      <c r="R433" s="2317"/>
      <c r="S433" s="2317"/>
      <c r="T433" s="2317"/>
      <c r="U433" s="2317"/>
      <c r="V433" s="2317"/>
      <c r="W433" s="2317"/>
      <c r="X433" s="2317"/>
      <c r="Y433" s="2317"/>
      <c r="Z433" s="2317"/>
      <c r="AA433" s="2317"/>
      <c r="AB433" s="2317"/>
      <c r="AC433" s="2317"/>
      <c r="AD433" s="2317"/>
      <c r="AE433" s="2317"/>
      <c r="AL433" s="628"/>
      <c r="AM433" s="468"/>
      <c r="AN433" s="495"/>
    </row>
    <row r="434" spans="1:60" s="449" customFormat="1" ht="12.75" customHeight="1">
      <c r="A434" s="436"/>
      <c r="B434" s="13"/>
      <c r="C434" s="2441" t="s">
        <v>826</v>
      </c>
      <c r="D434" s="2401"/>
      <c r="E434" s="587"/>
      <c r="F434" s="617" t="s">
        <v>2382</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79" t="s">
        <v>2366</v>
      </c>
      <c r="AG434" s="2379"/>
      <c r="AH434" s="2379"/>
      <c r="AI434" s="2379"/>
      <c r="AJ434" s="2379"/>
      <c r="AK434" s="2379"/>
      <c r="AL434" s="2445"/>
      <c r="AM434" s="468"/>
      <c r="AN434" s="495"/>
    </row>
    <row r="435" spans="1:60" s="449" customFormat="1" ht="12.75" customHeight="1">
      <c r="A435" s="436"/>
      <c r="B435" s="13"/>
      <c r="C435" s="635"/>
      <c r="AL435" s="628"/>
      <c r="AM435" s="468"/>
      <c r="AN435" s="495"/>
    </row>
    <row r="436" spans="1:60" s="449" customFormat="1" ht="12.75" customHeight="1">
      <c r="A436" s="436"/>
      <c r="B436" s="13"/>
      <c r="C436" s="2441" t="s">
        <v>826</v>
      </c>
      <c r="D436" s="2401"/>
      <c r="E436" s="615"/>
      <c r="F436" s="617" t="s">
        <v>2383</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79" t="s">
        <v>2377</v>
      </c>
      <c r="AG436" s="2379"/>
      <c r="AH436" s="2379"/>
      <c r="AI436" s="2379"/>
      <c r="AJ436" s="2379"/>
      <c r="AK436" s="2379"/>
      <c r="AL436" s="2445"/>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2384</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2385</v>
      </c>
      <c r="F440" s="2444" t="s">
        <v>2386</v>
      </c>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610"/>
      <c r="AG440" s="610"/>
      <c r="AH440" s="610"/>
      <c r="AI440" s="610"/>
      <c r="AJ440" s="610"/>
      <c r="AK440" s="610"/>
      <c r="AL440" s="641"/>
      <c r="AM440" s="468"/>
      <c r="AN440" s="495"/>
    </row>
    <row r="441" spans="1:60" s="449" customFormat="1" ht="12.75" customHeight="1">
      <c r="A441" s="436"/>
      <c r="B441" s="13"/>
      <c r="C441" s="627"/>
      <c r="D441" s="13"/>
      <c r="E441" s="587"/>
      <c r="F441" s="2317"/>
      <c r="G441" s="2317"/>
      <c r="H441" s="2317"/>
      <c r="I441" s="2317"/>
      <c r="J441" s="2317"/>
      <c r="K441" s="2317"/>
      <c r="L441" s="2317"/>
      <c r="M441" s="2317"/>
      <c r="N441" s="2317"/>
      <c r="O441" s="2317"/>
      <c r="P441" s="2317"/>
      <c r="Q441" s="2317"/>
      <c r="R441" s="2317"/>
      <c r="S441" s="2317"/>
      <c r="T441" s="2317"/>
      <c r="U441" s="2317"/>
      <c r="V441" s="2317"/>
      <c r="W441" s="2317"/>
      <c r="X441" s="2317"/>
      <c r="Y441" s="2317"/>
      <c r="Z441" s="2317"/>
      <c r="AA441" s="2317"/>
      <c r="AB441" s="2317"/>
      <c r="AC441" s="2317"/>
      <c r="AD441" s="2317"/>
      <c r="AE441" s="2317"/>
      <c r="AF441" s="439"/>
      <c r="AG441" s="436"/>
      <c r="AL441" s="628"/>
      <c r="AM441" s="468"/>
      <c r="AN441" s="495"/>
    </row>
    <row r="442" spans="1:60" s="449" customFormat="1" ht="12.4" customHeight="1">
      <c r="A442" s="436"/>
      <c r="B442" s="13"/>
      <c r="C442" s="627"/>
      <c r="D442" s="13"/>
      <c r="E442" s="587"/>
      <c r="F442" s="2317"/>
      <c r="G442" s="2317"/>
      <c r="H442" s="2317"/>
      <c r="I442" s="2317"/>
      <c r="J442" s="2317"/>
      <c r="K442" s="2317"/>
      <c r="L442" s="2317"/>
      <c r="M442" s="2317"/>
      <c r="N442" s="2317"/>
      <c r="O442" s="2317"/>
      <c r="P442" s="2317"/>
      <c r="Q442" s="2317"/>
      <c r="R442" s="2317"/>
      <c r="S442" s="2317"/>
      <c r="T442" s="2317"/>
      <c r="U442" s="2317"/>
      <c r="V442" s="2317"/>
      <c r="W442" s="2317"/>
      <c r="X442" s="2317"/>
      <c r="Y442" s="2317"/>
      <c r="Z442" s="2317"/>
      <c r="AA442" s="2317"/>
      <c r="AB442" s="2317"/>
      <c r="AC442" s="2317"/>
      <c r="AD442" s="2317"/>
      <c r="AE442" s="2317"/>
      <c r="AL442" s="628"/>
      <c r="AM442" s="468"/>
      <c r="AN442" s="495"/>
    </row>
    <row r="443" spans="1:60" s="449" customFormat="1" ht="12.75" customHeight="1">
      <c r="A443" s="436"/>
      <c r="B443" s="13"/>
      <c r="C443" s="2441" t="s">
        <v>826</v>
      </c>
      <c r="D443" s="2401"/>
      <c r="E443" s="587"/>
      <c r="F443" s="617" t="s">
        <v>2387</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79" t="s">
        <v>2366</v>
      </c>
      <c r="AG443" s="2379"/>
      <c r="AH443" s="2379"/>
      <c r="AI443" s="2379"/>
      <c r="AJ443" s="2379"/>
      <c r="AK443" s="2379"/>
      <c r="AL443" s="2445"/>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2388</v>
      </c>
      <c r="F446" s="2444" t="s">
        <v>2389</v>
      </c>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643"/>
      <c r="AG446" s="643"/>
      <c r="AH446" s="643"/>
      <c r="AI446" s="643"/>
      <c r="AJ446" s="643"/>
      <c r="AK446" s="643"/>
      <c r="AL446" s="644"/>
      <c r="AM446" s="468"/>
      <c r="AO446" s="449"/>
      <c r="AP446" s="449"/>
      <c r="BD446" s="13"/>
      <c r="BE446" s="13"/>
      <c r="BF446" s="13"/>
      <c r="BG446" s="13"/>
      <c r="BH446" s="13"/>
    </row>
    <row r="447" spans="1:60">
      <c r="A447" s="436"/>
      <c r="C447" s="627"/>
      <c r="E447" s="587"/>
      <c r="F447" s="2317"/>
      <c r="G447" s="2317"/>
      <c r="H447" s="2317"/>
      <c r="I447" s="2317"/>
      <c r="J447" s="2317"/>
      <c r="K447" s="2317"/>
      <c r="L447" s="2317"/>
      <c r="M447" s="2317"/>
      <c r="N447" s="2317"/>
      <c r="O447" s="2317"/>
      <c r="P447" s="2317"/>
      <c r="Q447" s="2317"/>
      <c r="R447" s="2317"/>
      <c r="S447" s="2317"/>
      <c r="T447" s="2317"/>
      <c r="U447" s="2317"/>
      <c r="V447" s="2317"/>
      <c r="W447" s="2317"/>
      <c r="X447" s="2317"/>
      <c r="Y447" s="2317"/>
      <c r="Z447" s="2317"/>
      <c r="AA447" s="2317"/>
      <c r="AB447" s="2317"/>
      <c r="AC447" s="2317"/>
      <c r="AD447" s="2317"/>
      <c r="AE447" s="2317"/>
      <c r="AF447" s="492"/>
      <c r="AG447" s="492"/>
      <c r="AH447" s="492"/>
      <c r="AI447" s="492"/>
      <c r="AJ447" s="492"/>
      <c r="AK447" s="492"/>
      <c r="AL447" s="646"/>
      <c r="AM447" s="468"/>
      <c r="AO447" s="449"/>
      <c r="AP447" s="449"/>
    </row>
    <row r="448" spans="1:60" s="449" customFormat="1" ht="12.75" customHeight="1">
      <c r="A448" s="436"/>
      <c r="B448" s="13"/>
      <c r="C448" s="627"/>
      <c r="D448" s="13"/>
      <c r="E448" s="587"/>
      <c r="F448" s="2317"/>
      <c r="G448" s="2317"/>
      <c r="H448" s="2317"/>
      <c r="I448" s="2317"/>
      <c r="J448" s="2317"/>
      <c r="K448" s="2317"/>
      <c r="L448" s="2317"/>
      <c r="M448" s="2317"/>
      <c r="N448" s="2317"/>
      <c r="O448" s="2317"/>
      <c r="P448" s="2317"/>
      <c r="Q448" s="2317"/>
      <c r="R448" s="2317"/>
      <c r="S448" s="2317"/>
      <c r="T448" s="2317"/>
      <c r="U448" s="2317"/>
      <c r="V448" s="2317"/>
      <c r="W448" s="2317"/>
      <c r="X448" s="2317"/>
      <c r="Y448" s="2317"/>
      <c r="Z448" s="2317"/>
      <c r="AA448" s="2317"/>
      <c r="AB448" s="2317"/>
      <c r="AC448" s="2317"/>
      <c r="AD448" s="2317"/>
      <c r="AE448" s="2317"/>
      <c r="AF448" s="492"/>
      <c r="AG448" s="492"/>
      <c r="AH448" s="492"/>
      <c r="AI448" s="492"/>
      <c r="AJ448" s="492"/>
      <c r="AK448" s="492"/>
      <c r="AL448" s="646"/>
      <c r="AM448" s="468"/>
      <c r="AN448" s="495"/>
    </row>
    <row r="449" spans="1:42" s="449" customFormat="1" ht="12.75" customHeight="1">
      <c r="A449" s="436"/>
      <c r="B449" s="13"/>
      <c r="C449" s="647"/>
      <c r="D449" s="626"/>
      <c r="E449" s="615"/>
      <c r="F449" s="2317"/>
      <c r="G449" s="2317"/>
      <c r="H449" s="2317"/>
      <c r="I449" s="2317"/>
      <c r="J449" s="2317"/>
      <c r="K449" s="2317"/>
      <c r="L449" s="2317"/>
      <c r="M449" s="2317"/>
      <c r="N449" s="2317"/>
      <c r="O449" s="2317"/>
      <c r="P449" s="2317"/>
      <c r="Q449" s="2317"/>
      <c r="R449" s="2317"/>
      <c r="S449" s="2317"/>
      <c r="T449" s="2317"/>
      <c r="U449" s="2317"/>
      <c r="V449" s="2317"/>
      <c r="W449" s="2317"/>
      <c r="X449" s="2317"/>
      <c r="Y449" s="2317"/>
      <c r="Z449" s="2317"/>
      <c r="AA449" s="2317"/>
      <c r="AB449" s="2317"/>
      <c r="AC449" s="2317"/>
      <c r="AD449" s="2317"/>
      <c r="AE449" s="2317"/>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7"/>
      <c r="G450" s="2317"/>
      <c r="H450" s="2317"/>
      <c r="I450" s="2317"/>
      <c r="J450" s="2317"/>
      <c r="K450" s="2317"/>
      <c r="L450" s="2317"/>
      <c r="M450" s="2317"/>
      <c r="N450" s="2317"/>
      <c r="O450" s="2317"/>
      <c r="P450" s="2317"/>
      <c r="Q450" s="2317"/>
      <c r="R450" s="2317"/>
      <c r="S450" s="2317"/>
      <c r="T450" s="2317"/>
      <c r="U450" s="2317"/>
      <c r="V450" s="2317"/>
      <c r="W450" s="2317"/>
      <c r="X450" s="2317"/>
      <c r="Y450" s="2317"/>
      <c r="Z450" s="2317"/>
      <c r="AA450" s="2317"/>
      <c r="AB450" s="2317"/>
      <c r="AC450" s="2317"/>
      <c r="AD450" s="2317"/>
      <c r="AE450" s="2317"/>
      <c r="AF450" s="492"/>
      <c r="AG450" s="492"/>
      <c r="AH450" s="492"/>
      <c r="AI450" s="492"/>
      <c r="AJ450" s="492"/>
      <c r="AK450" s="492"/>
      <c r="AL450" s="646"/>
      <c r="AM450" s="468"/>
      <c r="AN450" s="495"/>
    </row>
    <row r="451" spans="1:42" s="449" customFormat="1" ht="12.75" customHeight="1">
      <c r="A451" s="436"/>
      <c r="B451" s="13"/>
      <c r="C451" s="647"/>
      <c r="D451" s="626"/>
      <c r="E451" s="615"/>
      <c r="F451" s="2317"/>
      <c r="G451" s="2317"/>
      <c r="H451" s="2317"/>
      <c r="I451" s="2317"/>
      <c r="J451" s="2317"/>
      <c r="K451" s="2317"/>
      <c r="L451" s="2317"/>
      <c r="M451" s="2317"/>
      <c r="N451" s="2317"/>
      <c r="O451" s="2317"/>
      <c r="P451" s="2317"/>
      <c r="Q451" s="2317"/>
      <c r="R451" s="2317"/>
      <c r="S451" s="2317"/>
      <c r="T451" s="2317"/>
      <c r="U451" s="2317"/>
      <c r="V451" s="2317"/>
      <c r="W451" s="2317"/>
      <c r="X451" s="2317"/>
      <c r="Y451" s="2317"/>
      <c r="Z451" s="2317"/>
      <c r="AA451" s="2317"/>
      <c r="AB451" s="2317"/>
      <c r="AC451" s="2317"/>
      <c r="AD451" s="2317"/>
      <c r="AE451" s="2317"/>
      <c r="AF451" s="492"/>
      <c r="AG451" s="492"/>
      <c r="AH451" s="492"/>
      <c r="AI451" s="492"/>
      <c r="AJ451" s="492"/>
      <c r="AK451" s="492"/>
      <c r="AL451" s="646"/>
      <c r="AM451" s="468"/>
      <c r="AN451" s="495"/>
    </row>
    <row r="452" spans="1:42" s="449" customFormat="1" ht="12.75" customHeight="1">
      <c r="A452" s="436"/>
      <c r="B452" s="13"/>
      <c r="C452" s="647"/>
      <c r="D452" s="626"/>
      <c r="E452" s="615"/>
      <c r="F452" s="2317"/>
      <c r="G452" s="2317"/>
      <c r="H452" s="2317"/>
      <c r="I452" s="2317"/>
      <c r="J452" s="2317"/>
      <c r="K452" s="2317"/>
      <c r="L452" s="2317"/>
      <c r="M452" s="2317"/>
      <c r="N452" s="2317"/>
      <c r="O452" s="2317"/>
      <c r="P452" s="2317"/>
      <c r="Q452" s="2317"/>
      <c r="R452" s="2317"/>
      <c r="S452" s="2317"/>
      <c r="T452" s="2317"/>
      <c r="U452" s="2317"/>
      <c r="V452" s="2317"/>
      <c r="W452" s="2317"/>
      <c r="X452" s="2317"/>
      <c r="Y452" s="2317"/>
      <c r="Z452" s="2317"/>
      <c r="AA452" s="2317"/>
      <c r="AB452" s="2317"/>
      <c r="AC452" s="2317"/>
      <c r="AD452" s="2317"/>
      <c r="AE452" s="2317"/>
      <c r="AF452" s="492"/>
      <c r="AG452" s="492"/>
      <c r="AH452" s="492"/>
      <c r="AI452" s="492"/>
      <c r="AJ452" s="492"/>
      <c r="AK452" s="492"/>
      <c r="AL452" s="646"/>
      <c r="AM452" s="468"/>
      <c r="AN452" s="495"/>
    </row>
    <row r="453" spans="1:42" s="449" customFormat="1" ht="12.75" customHeight="1">
      <c r="A453" s="436"/>
      <c r="B453" s="13"/>
      <c r="C453" s="647"/>
      <c r="D453" s="626"/>
      <c r="E453" s="615"/>
      <c r="F453" s="2317"/>
      <c r="G453" s="2317"/>
      <c r="H453" s="2317"/>
      <c r="I453" s="2317"/>
      <c r="J453" s="2317"/>
      <c r="K453" s="2317"/>
      <c r="L453" s="2317"/>
      <c r="M453" s="2317"/>
      <c r="N453" s="2317"/>
      <c r="O453" s="2317"/>
      <c r="P453" s="2317"/>
      <c r="Q453" s="2317"/>
      <c r="R453" s="2317"/>
      <c r="S453" s="2317"/>
      <c r="T453" s="2317"/>
      <c r="U453" s="2317"/>
      <c r="V453" s="2317"/>
      <c r="W453" s="2317"/>
      <c r="X453" s="2317"/>
      <c r="Y453" s="2317"/>
      <c r="Z453" s="2317"/>
      <c r="AA453" s="2317"/>
      <c r="AB453" s="2317"/>
      <c r="AC453" s="2317"/>
      <c r="AD453" s="2317"/>
      <c r="AE453" s="2317"/>
      <c r="AF453" s="492"/>
      <c r="AG453" s="492"/>
      <c r="AH453" s="492"/>
      <c r="AI453" s="492"/>
      <c r="AJ453" s="492"/>
      <c r="AK453" s="492"/>
      <c r="AL453" s="646"/>
      <c r="AM453" s="468"/>
      <c r="AN453" s="495"/>
    </row>
    <row r="454" spans="1:42" s="449" customFormat="1" ht="17.25" customHeight="1">
      <c r="A454" s="436"/>
      <c r="B454" s="13"/>
      <c r="C454" s="647"/>
      <c r="D454" s="626"/>
      <c r="E454" s="615"/>
      <c r="F454" s="2317"/>
      <c r="G454" s="2317"/>
      <c r="H454" s="2317"/>
      <c r="I454" s="2317"/>
      <c r="J454" s="2317"/>
      <c r="K454" s="2317"/>
      <c r="L454" s="2317"/>
      <c r="M454" s="2317"/>
      <c r="N454" s="2317"/>
      <c r="O454" s="2317"/>
      <c r="P454" s="2317"/>
      <c r="Q454" s="2317"/>
      <c r="R454" s="2317"/>
      <c r="S454" s="2317"/>
      <c r="T454" s="2317"/>
      <c r="U454" s="2317"/>
      <c r="V454" s="2317"/>
      <c r="W454" s="2317"/>
      <c r="X454" s="2317"/>
      <c r="Y454" s="2317"/>
      <c r="Z454" s="2317"/>
      <c r="AA454" s="2317"/>
      <c r="AB454" s="2317"/>
      <c r="AC454" s="2317"/>
      <c r="AD454" s="2317"/>
      <c r="AE454" s="2317"/>
      <c r="AL454" s="628"/>
      <c r="AM454" s="468"/>
      <c r="AN454" s="495"/>
    </row>
    <row r="455" spans="1:42" s="449" customFormat="1" ht="12.75" customHeight="1">
      <c r="A455" s="436"/>
      <c r="B455" s="13"/>
      <c r="C455" s="2441" t="s">
        <v>826</v>
      </c>
      <c r="D455" s="2401"/>
      <c r="E455" s="615"/>
      <c r="F455" s="494" t="s">
        <v>2390</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79" t="s">
        <v>2366</v>
      </c>
      <c r="AG455" s="2379"/>
      <c r="AH455" s="2379"/>
      <c r="AI455" s="2379"/>
      <c r="AJ455" s="2379"/>
      <c r="AK455" s="2379"/>
      <c r="AL455" s="2445"/>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2391</v>
      </c>
      <c r="F458" s="2444" t="s">
        <v>2392</v>
      </c>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610"/>
      <c r="AG458" s="610"/>
      <c r="AH458" s="610"/>
      <c r="AI458" s="610"/>
      <c r="AJ458" s="610"/>
      <c r="AK458" s="610"/>
      <c r="AL458" s="641"/>
      <c r="AM458" s="468"/>
      <c r="AN458" s="495"/>
    </row>
    <row r="459" spans="1:42" s="449" customFormat="1" ht="12.75" customHeight="1">
      <c r="A459" s="436"/>
      <c r="B459" s="13"/>
      <c r="C459" s="647"/>
      <c r="D459" s="626"/>
      <c r="E459" s="615"/>
      <c r="F459" s="2317"/>
      <c r="G459" s="2317"/>
      <c r="H459" s="2317"/>
      <c r="I459" s="2317"/>
      <c r="J459" s="2317"/>
      <c r="K459" s="2317"/>
      <c r="L459" s="2317"/>
      <c r="M459" s="2317"/>
      <c r="N459" s="2317"/>
      <c r="O459" s="2317"/>
      <c r="P459" s="2317"/>
      <c r="Q459" s="2317"/>
      <c r="R459" s="2317"/>
      <c r="S459" s="2317"/>
      <c r="T459" s="2317"/>
      <c r="U459" s="2317"/>
      <c r="V459" s="2317"/>
      <c r="W459" s="2317"/>
      <c r="X459" s="2317"/>
      <c r="Y459" s="2317"/>
      <c r="Z459" s="2317"/>
      <c r="AA459" s="2317"/>
      <c r="AB459" s="2317"/>
      <c r="AC459" s="2317"/>
      <c r="AD459" s="2317"/>
      <c r="AE459" s="2317"/>
      <c r="AF459" s="489"/>
      <c r="AG459" s="489"/>
      <c r="AH459" s="489"/>
      <c r="AI459" s="489"/>
      <c r="AJ459" s="489"/>
      <c r="AK459" s="489"/>
      <c r="AL459" s="616"/>
      <c r="AM459" s="468"/>
      <c r="AN459" s="495"/>
    </row>
    <row r="460" spans="1:42" s="449" customFormat="1" ht="12.75" customHeight="1">
      <c r="A460" s="436"/>
      <c r="B460" s="13"/>
      <c r="C460" s="647"/>
      <c r="D460" s="626"/>
      <c r="E460" s="615"/>
      <c r="F460" s="2317"/>
      <c r="G460" s="2317"/>
      <c r="H460" s="2317"/>
      <c r="I460" s="2317"/>
      <c r="J460" s="2317"/>
      <c r="K460" s="2317"/>
      <c r="L460" s="2317"/>
      <c r="M460" s="2317"/>
      <c r="N460" s="2317"/>
      <c r="O460" s="2317"/>
      <c r="P460" s="2317"/>
      <c r="Q460" s="2317"/>
      <c r="R460" s="2317"/>
      <c r="S460" s="2317"/>
      <c r="T460" s="2317"/>
      <c r="U460" s="2317"/>
      <c r="V460" s="2317"/>
      <c r="W460" s="2317"/>
      <c r="X460" s="2317"/>
      <c r="Y460" s="2317"/>
      <c r="Z460" s="2317"/>
      <c r="AA460" s="2317"/>
      <c r="AB460" s="2317"/>
      <c r="AC460" s="2317"/>
      <c r="AD460" s="2317"/>
      <c r="AE460" s="2317"/>
      <c r="AF460" s="489"/>
      <c r="AG460" s="489"/>
      <c r="AH460" s="489"/>
      <c r="AI460" s="489"/>
      <c r="AJ460" s="489"/>
      <c r="AK460" s="489"/>
      <c r="AL460" s="616"/>
      <c r="AM460" s="468"/>
      <c r="AN460" s="495"/>
    </row>
    <row r="461" spans="1:42" s="449" customFormat="1" ht="12.75" customHeight="1">
      <c r="A461" s="436"/>
      <c r="B461" s="13"/>
      <c r="C461" s="647"/>
      <c r="D461" s="626"/>
      <c r="E461" s="615"/>
      <c r="F461" s="2317"/>
      <c r="G461" s="2317"/>
      <c r="H461" s="2317"/>
      <c r="I461" s="2317"/>
      <c r="J461" s="2317"/>
      <c r="K461" s="2317"/>
      <c r="L461" s="2317"/>
      <c r="M461" s="2317"/>
      <c r="N461" s="2317"/>
      <c r="O461" s="2317"/>
      <c r="P461" s="2317"/>
      <c r="Q461" s="2317"/>
      <c r="R461" s="2317"/>
      <c r="S461" s="2317"/>
      <c r="T461" s="2317"/>
      <c r="U461" s="2317"/>
      <c r="V461" s="2317"/>
      <c r="W461" s="2317"/>
      <c r="X461" s="2317"/>
      <c r="Y461" s="2317"/>
      <c r="Z461" s="2317"/>
      <c r="AA461" s="2317"/>
      <c r="AB461" s="2317"/>
      <c r="AC461" s="2317"/>
      <c r="AD461" s="2317"/>
      <c r="AE461" s="2317"/>
      <c r="AL461" s="628"/>
      <c r="AM461" s="468"/>
      <c r="AN461" s="495"/>
    </row>
    <row r="462" spans="1:42" s="449" customFormat="1" ht="12.75" customHeight="1">
      <c r="A462" s="436"/>
      <c r="B462" s="13"/>
      <c r="C462" s="2441" t="s">
        <v>826</v>
      </c>
      <c r="D462" s="2401"/>
      <c r="E462" s="615"/>
      <c r="F462" s="617" t="s">
        <v>2393</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79" t="s">
        <v>2366</v>
      </c>
      <c r="AG462" s="2379"/>
      <c r="AH462" s="2379"/>
      <c r="AI462" s="2379"/>
      <c r="AJ462" s="2379"/>
      <c r="AK462" s="2379"/>
      <c r="AL462" s="2445"/>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2373</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6" t="s">
        <v>826</v>
      </c>
      <c r="D466" s="2447"/>
      <c r="E466" s="611" t="s">
        <v>2394</v>
      </c>
      <c r="F466" s="2444" t="s">
        <v>2395</v>
      </c>
      <c r="G466" s="2444"/>
      <c r="H466" s="2444"/>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44"/>
      <c r="AD466" s="2444"/>
      <c r="AE466" s="2444"/>
      <c r="AF466" s="2529" t="s">
        <v>2366</v>
      </c>
      <c r="AG466" s="2529"/>
      <c r="AH466" s="2529"/>
      <c r="AI466" s="2529"/>
      <c r="AJ466" s="2529"/>
      <c r="AK466" s="2529"/>
      <c r="AL466" s="2530"/>
      <c r="AM466" s="468"/>
      <c r="AN466" s="649"/>
    </row>
    <row r="467" spans="1:40" s="449" customFormat="1" ht="12.75" customHeight="1">
      <c r="A467" s="436"/>
      <c r="B467" s="13"/>
      <c r="C467" s="647"/>
      <c r="D467" s="626"/>
      <c r="E467" s="615"/>
      <c r="F467" s="2317"/>
      <c r="G467" s="2317"/>
      <c r="H467" s="2317"/>
      <c r="I467" s="2317"/>
      <c r="J467" s="2317"/>
      <c r="K467" s="2317"/>
      <c r="L467" s="2317"/>
      <c r="M467" s="2317"/>
      <c r="N467" s="2317"/>
      <c r="O467" s="2317"/>
      <c r="P467" s="2317"/>
      <c r="Q467" s="2317"/>
      <c r="R467" s="2317"/>
      <c r="S467" s="2317"/>
      <c r="T467" s="2317"/>
      <c r="U467" s="2317"/>
      <c r="V467" s="2317"/>
      <c r="W467" s="2317"/>
      <c r="X467" s="2317"/>
      <c r="Y467" s="2317"/>
      <c r="Z467" s="2317"/>
      <c r="AA467" s="2317"/>
      <c r="AB467" s="2317"/>
      <c r="AC467" s="2317"/>
      <c r="AD467" s="2317"/>
      <c r="AE467" s="2317"/>
      <c r="AF467" s="489"/>
      <c r="AG467" s="489"/>
      <c r="AH467" s="489"/>
      <c r="AI467" s="489"/>
      <c r="AJ467" s="489"/>
      <c r="AK467" s="489"/>
      <c r="AL467" s="616"/>
      <c r="AM467" s="468"/>
      <c r="AN467" s="650"/>
    </row>
    <row r="468" spans="1:40" s="449" customFormat="1" ht="17.649999999999999" customHeight="1">
      <c r="A468" s="436"/>
      <c r="B468" s="13"/>
      <c r="C468" s="652"/>
      <c r="D468" s="619"/>
      <c r="E468" s="620"/>
      <c r="F468" s="2473"/>
      <c r="G468" s="2473"/>
      <c r="H468" s="2473"/>
      <c r="I468" s="2473"/>
      <c r="J468" s="2473"/>
      <c r="K468" s="2473"/>
      <c r="L468" s="2473"/>
      <c r="M468" s="2473"/>
      <c r="N468" s="2473"/>
      <c r="O468" s="2473"/>
      <c r="P468" s="2473"/>
      <c r="Q468" s="2473"/>
      <c r="R468" s="2473"/>
      <c r="S468" s="2473"/>
      <c r="T468" s="2473"/>
      <c r="U468" s="2473"/>
      <c r="V468" s="2473"/>
      <c r="W468" s="2473"/>
      <c r="X468" s="2473"/>
      <c r="Y468" s="2473"/>
      <c r="Z468" s="2473"/>
      <c r="AA468" s="2473"/>
      <c r="AB468" s="2473"/>
      <c r="AC468" s="2473"/>
      <c r="AD468" s="2473"/>
      <c r="AE468" s="247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1" t="s">
        <v>826</v>
      </c>
      <c r="D470" s="2401"/>
      <c r="E470" s="611" t="s">
        <v>2396</v>
      </c>
      <c r="F470" s="2444" t="s">
        <v>2397</v>
      </c>
      <c r="G470" s="2444"/>
      <c r="H470" s="2444"/>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44"/>
      <c r="AD470" s="2444"/>
      <c r="AE470" s="2444"/>
      <c r="AF470" s="2529" t="s">
        <v>2366</v>
      </c>
      <c r="AG470" s="2529"/>
      <c r="AH470" s="2529"/>
      <c r="AI470" s="2529"/>
      <c r="AJ470" s="2529"/>
      <c r="AK470" s="2529"/>
      <c r="AL470" s="2530"/>
      <c r="AM470" s="468"/>
      <c r="AN470" s="435"/>
    </row>
    <row r="471" spans="1:40" s="449" customFormat="1" ht="12.75" customHeight="1">
      <c r="A471" s="436"/>
      <c r="B471" s="13"/>
      <c r="C471" s="627"/>
      <c r="D471" s="13"/>
      <c r="E471" s="587"/>
      <c r="F471" s="2317"/>
      <c r="G471" s="2317"/>
      <c r="H471" s="2317"/>
      <c r="I471" s="2317"/>
      <c r="J471" s="2317"/>
      <c r="K471" s="2317"/>
      <c r="L471" s="2317"/>
      <c r="M471" s="2317"/>
      <c r="N471" s="2317"/>
      <c r="O471" s="2317"/>
      <c r="P471" s="2317"/>
      <c r="Q471" s="2317"/>
      <c r="R471" s="2317"/>
      <c r="S471" s="2317"/>
      <c r="T471" s="2317"/>
      <c r="U471" s="2317"/>
      <c r="V471" s="2317"/>
      <c r="W471" s="2317"/>
      <c r="X471" s="2317"/>
      <c r="Y471" s="2317"/>
      <c r="Z471" s="2317"/>
      <c r="AA471" s="2317"/>
      <c r="AB471" s="2317"/>
      <c r="AC471" s="2317"/>
      <c r="AD471" s="2317"/>
      <c r="AE471" s="2317"/>
      <c r="AF471" s="439"/>
      <c r="AG471" s="436"/>
      <c r="AL471" s="628"/>
      <c r="AM471" s="468"/>
      <c r="AN471" s="435"/>
    </row>
    <row r="472" spans="1:40" s="449" customFormat="1" ht="12.75" customHeight="1">
      <c r="A472" s="436"/>
      <c r="B472" s="13"/>
      <c r="C472" s="627"/>
      <c r="D472" s="13"/>
      <c r="E472" s="587"/>
      <c r="F472" s="2317"/>
      <c r="G472" s="2317"/>
      <c r="H472" s="2317"/>
      <c r="I472" s="2317"/>
      <c r="J472" s="2317"/>
      <c r="K472" s="2317"/>
      <c r="L472" s="2317"/>
      <c r="M472" s="2317"/>
      <c r="N472" s="2317"/>
      <c r="O472" s="2317"/>
      <c r="P472" s="2317"/>
      <c r="Q472" s="2317"/>
      <c r="R472" s="2317"/>
      <c r="S472" s="2317"/>
      <c r="T472" s="2317"/>
      <c r="U472" s="2317"/>
      <c r="V472" s="2317"/>
      <c r="W472" s="2317"/>
      <c r="X472" s="2317"/>
      <c r="Y472" s="2317"/>
      <c r="Z472" s="2317"/>
      <c r="AA472" s="2317"/>
      <c r="AB472" s="2317"/>
      <c r="AC472" s="2317"/>
      <c r="AD472" s="2317"/>
      <c r="AE472" s="2317"/>
      <c r="AF472" s="439"/>
      <c r="AG472" s="436"/>
      <c r="AL472" s="628"/>
      <c r="AM472" s="468"/>
      <c r="AN472" s="435"/>
    </row>
    <row r="473" spans="1:40" s="449" customFormat="1" ht="12.75" customHeight="1">
      <c r="A473" s="436"/>
      <c r="B473" s="13"/>
      <c r="C473" s="652"/>
      <c r="D473" s="619"/>
      <c r="E473" s="620"/>
      <c r="F473" s="2473"/>
      <c r="G473" s="2473"/>
      <c r="H473" s="2473"/>
      <c r="I473" s="2473"/>
      <c r="J473" s="2473"/>
      <c r="K473" s="2473"/>
      <c r="L473" s="2473"/>
      <c r="M473" s="2473"/>
      <c r="N473" s="2473"/>
      <c r="O473" s="2473"/>
      <c r="P473" s="2473"/>
      <c r="Q473" s="2473"/>
      <c r="R473" s="2473"/>
      <c r="S473" s="2473"/>
      <c r="T473" s="2473"/>
      <c r="U473" s="2473"/>
      <c r="V473" s="2473"/>
      <c r="W473" s="2473"/>
      <c r="X473" s="2473"/>
      <c r="Y473" s="2473"/>
      <c r="Z473" s="2473"/>
      <c r="AA473" s="2473"/>
      <c r="AB473" s="2473"/>
      <c r="AC473" s="2473"/>
      <c r="AD473" s="2473"/>
      <c r="AE473" s="247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2398</v>
      </c>
      <c r="F475" s="2444" t="s">
        <v>2399</v>
      </c>
      <c r="G475" s="2444"/>
      <c r="H475" s="2444"/>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44"/>
      <c r="AD475" s="2444"/>
      <c r="AE475" s="2444"/>
      <c r="AF475" s="2444"/>
      <c r="AG475" s="640"/>
      <c r="AH475" s="610"/>
      <c r="AI475" s="610"/>
      <c r="AJ475" s="610"/>
      <c r="AK475" s="610"/>
      <c r="AL475" s="641"/>
      <c r="AM475" s="468"/>
      <c r="AN475" s="495"/>
    </row>
    <row r="476" spans="1:40" s="449" customFormat="1" ht="12.75" customHeight="1">
      <c r="A476" s="436"/>
      <c r="B476" s="13"/>
      <c r="C476" s="627"/>
      <c r="D476" s="13"/>
      <c r="E476" s="587"/>
      <c r="F476" s="2317"/>
      <c r="G476" s="2317"/>
      <c r="H476" s="2317"/>
      <c r="I476" s="2317"/>
      <c r="J476" s="2317"/>
      <c r="K476" s="2317"/>
      <c r="L476" s="2317"/>
      <c r="M476" s="2317"/>
      <c r="N476" s="2317"/>
      <c r="O476" s="2317"/>
      <c r="P476" s="2317"/>
      <c r="Q476" s="2317"/>
      <c r="R476" s="2317"/>
      <c r="S476" s="2317"/>
      <c r="T476" s="2317"/>
      <c r="U476" s="2317"/>
      <c r="V476" s="2317"/>
      <c r="W476" s="2317"/>
      <c r="X476" s="2317"/>
      <c r="Y476" s="2317"/>
      <c r="Z476" s="2317"/>
      <c r="AA476" s="2317"/>
      <c r="AB476" s="2317"/>
      <c r="AC476" s="2317"/>
      <c r="AD476" s="2317"/>
      <c r="AE476" s="2317"/>
      <c r="AF476" s="2317"/>
      <c r="AL476" s="628"/>
      <c r="AM476" s="468"/>
      <c r="AN476" s="495"/>
    </row>
    <row r="477" spans="1:40" s="449" customFormat="1" ht="12.75" customHeight="1">
      <c r="A477" s="436"/>
      <c r="B477" s="13"/>
      <c r="C477" s="635"/>
      <c r="F477" s="2317"/>
      <c r="G477" s="2317"/>
      <c r="H477" s="2317"/>
      <c r="I477" s="2317"/>
      <c r="J477" s="2317"/>
      <c r="K477" s="2317"/>
      <c r="L477" s="2317"/>
      <c r="M477" s="2317"/>
      <c r="N477" s="2317"/>
      <c r="O477" s="2317"/>
      <c r="P477" s="2317"/>
      <c r="Q477" s="2317"/>
      <c r="R477" s="2317"/>
      <c r="S477" s="2317"/>
      <c r="T477" s="2317"/>
      <c r="U477" s="2317"/>
      <c r="V477" s="2317"/>
      <c r="W477" s="2317"/>
      <c r="X477" s="2317"/>
      <c r="Y477" s="2317"/>
      <c r="Z477" s="2317"/>
      <c r="AA477" s="2317"/>
      <c r="AB477" s="2317"/>
      <c r="AC477" s="2317"/>
      <c r="AD477" s="2317"/>
      <c r="AE477" s="2317"/>
      <c r="AF477" s="2317"/>
      <c r="AL477" s="628"/>
      <c r="AM477" s="468"/>
      <c r="AN477" s="495"/>
    </row>
    <row r="478" spans="1:40" s="449" customFormat="1" ht="12.75" customHeight="1">
      <c r="A478" s="436"/>
      <c r="B478" s="13"/>
      <c r="C478" s="635"/>
      <c r="F478" s="2317"/>
      <c r="G478" s="2317"/>
      <c r="H478" s="2317"/>
      <c r="I478" s="2317"/>
      <c r="J478" s="2317"/>
      <c r="K478" s="2317"/>
      <c r="L478" s="2317"/>
      <c r="M478" s="2317"/>
      <c r="N478" s="2317"/>
      <c r="O478" s="2317"/>
      <c r="P478" s="2317"/>
      <c r="Q478" s="2317"/>
      <c r="R478" s="2317"/>
      <c r="S478" s="2317"/>
      <c r="T478" s="2317"/>
      <c r="U478" s="2317"/>
      <c r="V478" s="2317"/>
      <c r="W478" s="2317"/>
      <c r="X478" s="2317"/>
      <c r="Y478" s="2317"/>
      <c r="Z478" s="2317"/>
      <c r="AA478" s="2317"/>
      <c r="AB478" s="2317"/>
      <c r="AC478" s="2317"/>
      <c r="AD478" s="2317"/>
      <c r="AE478" s="2317"/>
      <c r="AF478" s="2317"/>
      <c r="AL478" s="628"/>
      <c r="AM478" s="468"/>
      <c r="AN478" s="495"/>
    </row>
    <row r="479" spans="1:40" s="449" customFormat="1" ht="12.75" customHeight="1">
      <c r="A479" s="436"/>
      <c r="B479" s="13"/>
      <c r="C479" s="2441" t="s">
        <v>826</v>
      </c>
      <c r="D479" s="2401"/>
      <c r="E479" s="615"/>
      <c r="F479" s="617" t="s">
        <v>2382</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2" t="s">
        <v>2366</v>
      </c>
      <c r="AG479" s="2442"/>
      <c r="AH479" s="2442"/>
      <c r="AI479" s="2442"/>
      <c r="AJ479" s="2442"/>
      <c r="AK479" s="2442"/>
      <c r="AL479" s="2443"/>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2400</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2401</v>
      </c>
      <c r="AK482" s="2404">
        <f>IF(Application!D214="N/A",AS371,AS373)</f>
        <v>10</v>
      </c>
      <c r="AL482" s="2405"/>
      <c r="AM482" s="2406"/>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2402</v>
      </c>
      <c r="C485" s="439"/>
      <c r="E485" s="494"/>
      <c r="AE485" s="2442" t="s">
        <v>2403</v>
      </c>
      <c r="AF485" s="2442"/>
      <c r="AG485" s="2442"/>
      <c r="AH485" s="2442"/>
      <c r="AI485" s="2442"/>
      <c r="AJ485" s="2442"/>
      <c r="AK485" s="2442"/>
      <c r="AL485" s="489"/>
      <c r="AN485" s="495"/>
      <c r="AO485" s="449" t="s">
        <v>2404</v>
      </c>
      <c r="AP485" s="449">
        <v>5</v>
      </c>
      <c r="AT485" s="449" t="s">
        <v>2404</v>
      </c>
      <c r="AU485" s="449">
        <v>5</v>
      </c>
      <c r="AV485" s="648"/>
    </row>
    <row r="486" spans="1:59" s="449" customFormat="1" ht="12.75" hidden="1" customHeight="1">
      <c r="A486" s="439"/>
      <c r="B486" s="436" t="s">
        <v>2405</v>
      </c>
      <c r="C486" s="439"/>
      <c r="E486" s="494"/>
      <c r="AE486" s="489"/>
      <c r="AF486" s="489"/>
      <c r="AG486" s="489"/>
      <c r="AH486" s="489"/>
      <c r="AI486" s="489"/>
      <c r="AJ486" s="489"/>
      <c r="AK486" s="489"/>
      <c r="AL486" s="489"/>
      <c r="AN486" s="495"/>
      <c r="AO486" s="449" t="s">
        <v>2406</v>
      </c>
      <c r="AP486" s="449">
        <v>5</v>
      </c>
      <c r="AT486" s="449" t="s">
        <v>2407</v>
      </c>
      <c r="AU486" s="449">
        <v>5</v>
      </c>
      <c r="AV486" s="648"/>
    </row>
    <row r="487" spans="1:59" s="449" customFormat="1" ht="12.75" hidden="1" customHeight="1">
      <c r="A487" s="439"/>
      <c r="B487" s="439" t="s">
        <v>2408</v>
      </c>
      <c r="C487" s="439"/>
      <c r="E487" s="494"/>
      <c r="AE487" s="489"/>
      <c r="AF487" s="489"/>
      <c r="AG487" s="489"/>
      <c r="AH487" s="489"/>
      <c r="AI487" s="489"/>
      <c r="AJ487" s="489"/>
      <c r="AK487" s="489"/>
      <c r="AL487" s="489"/>
      <c r="AN487" s="495"/>
      <c r="AO487" s="449" t="s">
        <v>2409</v>
      </c>
      <c r="AP487" s="449">
        <v>5</v>
      </c>
      <c r="AQ487" s="439"/>
      <c r="AR487" s="439"/>
      <c r="AS487" s="651"/>
      <c r="AT487" s="449" t="s">
        <v>2409</v>
      </c>
      <c r="AU487" s="449">
        <v>5</v>
      </c>
      <c r="AV487" s="436"/>
    </row>
    <row r="488" spans="1:59" s="449" customFormat="1" ht="12.75" hidden="1" customHeight="1">
      <c r="A488" s="439"/>
      <c r="B488" s="439" t="s">
        <v>2410</v>
      </c>
      <c r="C488" s="439"/>
      <c r="E488" s="494"/>
      <c r="AE488" s="489"/>
      <c r="AF488" s="489"/>
      <c r="AG488" s="489"/>
      <c r="AH488" s="489"/>
      <c r="AI488" s="489"/>
      <c r="AJ488" s="489"/>
      <c r="AK488" s="489"/>
      <c r="AL488" s="489"/>
      <c r="AN488" s="495"/>
      <c r="AO488" s="449" t="s">
        <v>2411</v>
      </c>
      <c r="AP488" s="449">
        <v>5</v>
      </c>
      <c r="AQ488" s="439"/>
      <c r="AR488" s="439"/>
      <c r="AT488" s="449" t="s">
        <v>2411</v>
      </c>
      <c r="AU488" s="449">
        <v>5</v>
      </c>
    </row>
    <row r="489" spans="1:59" s="449" customFormat="1" ht="12.75" hidden="1" customHeight="1">
      <c r="A489" s="439"/>
      <c r="C489" s="439"/>
      <c r="E489" s="494"/>
      <c r="AE489" s="489"/>
      <c r="AF489" s="489"/>
      <c r="AG489" s="489"/>
      <c r="AH489" s="489"/>
      <c r="AI489" s="489"/>
      <c r="AJ489" s="489"/>
      <c r="AK489" s="489"/>
      <c r="AL489" s="489"/>
      <c r="AN489" s="495"/>
      <c r="AO489" s="449" t="s">
        <v>2412</v>
      </c>
      <c r="AP489" s="449">
        <v>5</v>
      </c>
      <c r="AQ489" s="439"/>
      <c r="AR489" s="439"/>
      <c r="AT489" s="449" t="s">
        <v>2412</v>
      </c>
      <c r="AU489" s="449">
        <v>5</v>
      </c>
    </row>
    <row r="490" spans="1:59" s="449" customFormat="1" ht="12.75" hidden="1" customHeight="1">
      <c r="A490" s="439"/>
      <c r="C490" s="608" t="s">
        <v>2413</v>
      </c>
      <c r="D490" s="468"/>
      <c r="AE490" s="489"/>
      <c r="AF490" s="489"/>
      <c r="AG490" s="494"/>
      <c r="AH490" s="494"/>
      <c r="AI490" s="494"/>
      <c r="AJ490" s="494"/>
      <c r="AK490" s="494"/>
      <c r="AL490" s="494"/>
      <c r="AN490" s="495"/>
      <c r="AO490" s="449" t="s">
        <v>2414</v>
      </c>
      <c r="AP490" s="449">
        <v>5</v>
      </c>
      <c r="AT490" s="449" t="s">
        <v>2414</v>
      </c>
      <c r="AU490" s="449">
        <v>5</v>
      </c>
    </row>
    <row r="491" spans="1:59" s="449" customFormat="1" ht="12.75" hidden="1" customHeight="1">
      <c r="A491" s="439"/>
      <c r="C491" s="2448" t="s">
        <v>826</v>
      </c>
      <c r="D491" s="2449"/>
      <c r="E491" s="657" t="s">
        <v>51</v>
      </c>
      <c r="F491" s="2450" t="s">
        <v>2415</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610"/>
      <c r="AG491" s="610"/>
      <c r="AH491" s="610"/>
      <c r="AI491" s="610"/>
      <c r="AJ491" s="610"/>
      <c r="AK491" s="641"/>
      <c r="AN491" s="495"/>
      <c r="AO491" s="449" t="s">
        <v>2416</v>
      </c>
      <c r="AP491" s="449">
        <v>5</v>
      </c>
      <c r="AS491" s="654"/>
      <c r="AT491" s="449" t="s">
        <v>2417</v>
      </c>
      <c r="AU491" s="449">
        <v>5</v>
      </c>
    </row>
    <row r="492" spans="1:59" s="449" customFormat="1" ht="12.75" hidden="1" customHeight="1">
      <c r="C492" s="658"/>
      <c r="E492" s="6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450"/>
      <c r="AH492" s="450"/>
      <c r="AI492" s="450"/>
      <c r="AJ492" s="450"/>
      <c r="AK492" s="628"/>
      <c r="AN492" s="495"/>
      <c r="AO492" s="449" t="s">
        <v>2418</v>
      </c>
      <c r="AP492" s="449">
        <v>1</v>
      </c>
      <c r="AT492" s="449" t="s">
        <v>2418</v>
      </c>
      <c r="AU492" s="449">
        <v>1</v>
      </c>
    </row>
    <row r="493" spans="1:59" s="449" customFormat="1" ht="12.75" hidden="1" customHeight="1">
      <c r="C493" s="660"/>
      <c r="D493" s="623"/>
      <c r="E493" s="661"/>
      <c r="F493" s="2546" t="s">
        <v>826</v>
      </c>
      <c r="G493" s="2546"/>
      <c r="H493" s="2546"/>
      <c r="I493" s="2546"/>
      <c r="J493" s="2546"/>
      <c r="K493" s="2546"/>
      <c r="L493" s="2546"/>
      <c r="M493" s="2546"/>
      <c r="N493" s="2546"/>
      <c r="O493" s="2546"/>
      <c r="P493" s="2546"/>
      <c r="Q493" s="2546"/>
      <c r="R493" s="2546"/>
      <c r="S493" s="2546"/>
      <c r="T493" s="2546"/>
      <c r="U493" s="2546"/>
      <c r="V493" s="2546"/>
      <c r="W493" s="2546"/>
      <c r="X493" s="2546"/>
      <c r="Y493" s="2546"/>
      <c r="Z493" s="2546"/>
      <c r="AA493" s="662"/>
      <c r="AB493" s="554"/>
      <c r="AC493" s="554"/>
      <c r="AD493" s="623"/>
      <c r="AE493" s="623"/>
      <c r="AF493" s="623"/>
      <c r="AG493" s="663">
        <f>IF($C$491="Yes",(VLOOKUP($F$493,$AT$484:$AU$492,2,FALSE)),0)</f>
        <v>0</v>
      </c>
      <c r="AH493" s="664" t="s">
        <v>2200</v>
      </c>
      <c r="AI493" s="663"/>
      <c r="AJ493" s="663"/>
      <c r="AK493" s="638"/>
      <c r="AN493" s="495"/>
      <c r="AS493" s="651"/>
      <c r="AX493" s="651"/>
      <c r="BB493" s="651" t="s">
        <v>2419</v>
      </c>
      <c r="BF493" s="651" t="s">
        <v>2420</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567" t="s">
        <v>862</v>
      </c>
      <c r="D495" s="2568"/>
      <c r="E495" s="657" t="s">
        <v>53</v>
      </c>
      <c r="F495" s="665" t="s">
        <v>2421</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2422</v>
      </c>
      <c r="AX495" s="535">
        <v>3</v>
      </c>
      <c r="AY495" s="491"/>
      <c r="BB495" s="654">
        <v>0.4</v>
      </c>
      <c r="BC495" s="491">
        <v>3</v>
      </c>
      <c r="BF495" s="654">
        <v>0.4</v>
      </c>
      <c r="BG495" s="491">
        <v>4</v>
      </c>
    </row>
    <row r="496" spans="1:59" s="449" customFormat="1" ht="12.75" hidden="1" customHeight="1">
      <c r="C496" s="666" t="s">
        <v>2423</v>
      </c>
      <c r="F496" s="667" t="s">
        <v>2424</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2425</v>
      </c>
      <c r="AX496" s="535">
        <v>5</v>
      </c>
      <c r="AY496" s="491"/>
      <c r="BB496" s="654">
        <v>0.6</v>
      </c>
      <c r="BC496" s="491">
        <v>4</v>
      </c>
      <c r="BF496" s="654">
        <v>0.6</v>
      </c>
      <c r="BG496" s="491">
        <v>5</v>
      </c>
    </row>
    <row r="497" spans="1:81" s="449" customFormat="1" ht="12.75" hidden="1" customHeight="1">
      <c r="C497" s="647"/>
      <c r="D497" s="626"/>
      <c r="E497" s="668"/>
      <c r="F497" s="667" t="s">
        <v>2426</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2427</v>
      </c>
      <c r="G498" s="449"/>
      <c r="H498" s="449"/>
      <c r="I498" s="667"/>
      <c r="J498" s="667"/>
      <c r="K498" s="667"/>
      <c r="L498" s="667"/>
      <c r="M498" s="667"/>
      <c r="N498" s="667"/>
      <c r="O498" s="667"/>
      <c r="P498" s="667"/>
      <c r="Q498" s="667"/>
      <c r="R498" s="667"/>
      <c r="S498" s="667"/>
      <c r="T498" s="667"/>
      <c r="U498" s="667"/>
      <c r="V498" s="2535" t="s">
        <v>826</v>
      </c>
      <c r="W498" s="2535"/>
      <c r="X498" s="2535"/>
      <c r="Y498" s="667"/>
      <c r="Z498" s="667"/>
      <c r="AA498" s="667"/>
      <c r="AB498" s="667"/>
      <c r="AC498" s="667"/>
      <c r="AD498" s="507"/>
      <c r="AE498" s="507"/>
      <c r="AF498" s="507"/>
      <c r="AG498" s="511">
        <f>IF(AND($C$495="Yes",$V$500="N/A",$V$505="N/A",$V$509="N/A",$V$511="N/A"),(VLOOKUP(V498,$AW$494:$AX$496,2,FALSE)),0)</f>
        <v>0</v>
      </c>
      <c r="AH498" s="538" t="s">
        <v>2200</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2428</v>
      </c>
      <c r="G500" s="449"/>
      <c r="H500" s="449"/>
      <c r="I500" s="667"/>
      <c r="J500" s="667"/>
      <c r="K500" s="667"/>
      <c r="L500" s="667"/>
      <c r="M500" s="667"/>
      <c r="N500" s="667"/>
      <c r="O500" s="667"/>
      <c r="P500" s="667"/>
      <c r="Q500" s="667"/>
      <c r="R500" s="667"/>
      <c r="S500" s="667"/>
      <c r="T500" s="667"/>
      <c r="U500" s="667"/>
      <c r="V500" s="2535" t="s">
        <v>826</v>
      </c>
      <c r="W500" s="2535"/>
      <c r="X500" s="2535"/>
      <c r="Y500" s="667"/>
      <c r="Z500" s="667"/>
      <c r="AA500" s="667"/>
      <c r="AB500" s="667"/>
      <c r="AC500" s="667"/>
      <c r="AD500" s="507"/>
      <c r="AE500" s="507"/>
      <c r="AF500" s="507"/>
      <c r="AG500" s="511">
        <f>IF(AND($C$495="Yes",$V$498="N/A", $V$505="N/A",$V$509="N/A",$V$511="N/A"),(VLOOKUP(V500,$AT$494:$AU$496,2,FALSE)),0)</f>
        <v>0</v>
      </c>
      <c r="AH500" s="538" t="s">
        <v>2200</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2429</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2430</v>
      </c>
      <c r="AP502" s="535">
        <v>2</v>
      </c>
    </row>
    <row r="503" spans="1:81" s="449" customFormat="1" ht="12.75" hidden="1" customHeight="1">
      <c r="C503" s="658"/>
      <c r="F503" s="507" t="s">
        <v>2431</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2432</v>
      </c>
      <c r="AP503" s="449">
        <v>2</v>
      </c>
    </row>
    <row r="504" spans="1:81" s="494" customFormat="1" ht="12.75" hidden="1" customHeight="1">
      <c r="A504" s="449"/>
      <c r="B504" s="449"/>
      <c r="C504" s="635"/>
      <c r="D504" s="468"/>
      <c r="E504" s="468"/>
      <c r="F504" s="507" t="s">
        <v>2433</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2434</v>
      </c>
      <c r="AP504" s="449">
        <v>2</v>
      </c>
    </row>
    <row r="505" spans="1:81" s="449" customFormat="1" ht="12.75" hidden="1" customHeight="1">
      <c r="C505" s="673"/>
      <c r="F505" s="671" t="s">
        <v>2435</v>
      </c>
      <c r="M505" s="659"/>
      <c r="N505" s="659"/>
      <c r="O505" s="659"/>
      <c r="P505" s="659"/>
      <c r="Q505" s="450"/>
      <c r="R505" s="450"/>
      <c r="S505" s="450"/>
      <c r="T505" s="450"/>
      <c r="U505" s="450"/>
      <c r="V505" s="2535" t="s">
        <v>826</v>
      </c>
      <c r="W505" s="2535"/>
      <c r="X505" s="2535"/>
      <c r="Y505" s="450"/>
      <c r="Z505" s="450"/>
      <c r="AA505" s="450"/>
      <c r="AB505" s="450"/>
      <c r="AC505" s="450"/>
      <c r="AG505" s="511">
        <f>IF(AND($C$495="Yes",$V$498="N/A",$V$500="N/A", $V$509="N/A",$V$511="N/A"),(VLOOKUP($V$505,$AT$498:$AU$500,2,FALSE)),0)</f>
        <v>0</v>
      </c>
      <c r="AH505" s="538" t="s">
        <v>2200</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2436</v>
      </c>
      <c r="D507" s="610"/>
      <c r="E507" s="610"/>
      <c r="F507" s="676" t="s">
        <v>2437</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521"/>
      <c r="E508" s="2521"/>
      <c r="F508" s="667" t="s">
        <v>2438</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2439</v>
      </c>
      <c r="AP508" s="535">
        <v>5</v>
      </c>
      <c r="AQ508" s="439"/>
    </row>
    <row r="509" spans="1:81" s="468" customFormat="1" ht="12.75" hidden="1" customHeight="1">
      <c r="A509" s="575"/>
      <c r="B509" s="449"/>
      <c r="C509" s="658"/>
      <c r="D509" s="449"/>
      <c r="E509" s="449"/>
      <c r="F509" s="678" t="s">
        <v>2427</v>
      </c>
      <c r="G509" s="449"/>
      <c r="H509" s="449"/>
      <c r="I509" s="449"/>
      <c r="J509" s="449"/>
      <c r="K509" s="449"/>
      <c r="L509" s="449"/>
      <c r="M509" s="449"/>
      <c r="N509" s="449"/>
      <c r="O509" s="449"/>
      <c r="P509" s="449"/>
      <c r="Q509" s="449"/>
      <c r="R509" s="449"/>
      <c r="S509" s="449"/>
      <c r="T509" s="449"/>
      <c r="U509" s="449"/>
      <c r="V509" s="2535" t="s">
        <v>826</v>
      </c>
      <c r="W509" s="2535"/>
      <c r="X509" s="2535"/>
      <c r="Y509" s="449"/>
      <c r="Z509" s="449"/>
      <c r="AA509" s="449"/>
      <c r="AB509" s="449"/>
      <c r="AC509" s="449"/>
      <c r="AD509" s="449"/>
      <c r="AE509" s="449"/>
      <c r="AF509" s="449"/>
      <c r="AG509" s="511">
        <f>IF(AND($C$495="Yes",$V$498="N/A",V500="N/A",$V$505="N/A",$V$511="N/A"),(VLOOKUP($V$509,$BB$494:$BC$497,2,FALSE)),0)</f>
        <v>0</v>
      </c>
      <c r="AH509" s="538" t="s">
        <v>2200</v>
      </c>
      <c r="AI509" s="450"/>
      <c r="AJ509" s="449"/>
      <c r="AK509" s="628"/>
      <c r="AL509" s="449"/>
      <c r="AM509" s="449"/>
      <c r="AN509" s="580"/>
      <c r="AO509" s="449" t="s">
        <v>2440</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2441</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2428</v>
      </c>
      <c r="G511" s="662"/>
      <c r="H511" s="662"/>
      <c r="I511" s="623"/>
      <c r="J511" s="623"/>
      <c r="K511" s="623"/>
      <c r="L511" s="623"/>
      <c r="M511" s="623"/>
      <c r="N511" s="623"/>
      <c r="O511" s="623"/>
      <c r="P511" s="623"/>
      <c r="Q511" s="623"/>
      <c r="R511" s="623"/>
      <c r="S511" s="623"/>
      <c r="T511" s="623"/>
      <c r="U511" s="623"/>
      <c r="V511" s="2535" t="s">
        <v>826</v>
      </c>
      <c r="W511" s="2535"/>
      <c r="X511" s="2535"/>
      <c r="Y511" s="623"/>
      <c r="Z511" s="623"/>
      <c r="AA511" s="623"/>
      <c r="AB511" s="623"/>
      <c r="AC511" s="623"/>
      <c r="AD511" s="623"/>
      <c r="AE511" s="623"/>
      <c r="AF511" s="623"/>
      <c r="AG511" s="679">
        <f>IF(AND($C$495="Yes",$V$498="N/A",$V$500="N/A",$V$505="N/A",$V$509="N/A"),(VLOOKUP($V$511,$BF$494:$BG$496,2,FALSE)),0)</f>
        <v>0</v>
      </c>
      <c r="AH511" s="664" t="s">
        <v>2200</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2442</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8" t="s">
        <v>826</v>
      </c>
      <c r="D514" s="2449"/>
      <c r="E514" s="657" t="s">
        <v>51</v>
      </c>
      <c r="F514" s="2450" t="s">
        <v>2415</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2" t="s">
        <v>826</v>
      </c>
      <c r="G516" s="2542"/>
      <c r="H516" s="2542"/>
      <c r="I516" s="2542"/>
      <c r="J516" s="2542"/>
      <c r="K516" s="2542"/>
      <c r="L516" s="2542"/>
      <c r="M516" s="2542"/>
      <c r="N516" s="2542"/>
      <c r="O516" s="2542"/>
      <c r="P516" s="2542"/>
      <c r="Q516" s="2542"/>
      <c r="R516" s="2542"/>
      <c r="S516" s="2542"/>
      <c r="T516" s="2542"/>
      <c r="U516" s="2542"/>
      <c r="V516" s="2542"/>
      <c r="W516" s="2542"/>
      <c r="X516" s="2542"/>
      <c r="Y516" s="2542"/>
      <c r="Z516" s="2542"/>
      <c r="AA516" s="662"/>
      <c r="AB516" s="554"/>
      <c r="AC516" s="554"/>
      <c r="AD516" s="623"/>
      <c r="AE516" s="623"/>
      <c r="AF516" s="623"/>
      <c r="AG516" s="663">
        <f>IF($C$514="Yes",(VLOOKUP($F$516,$AO$484:$AP$492,2,FALSE)),0)</f>
        <v>0</v>
      </c>
      <c r="AH516" s="664" t="s">
        <v>2200</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8" t="s">
        <v>826</v>
      </c>
      <c r="D518" s="2449"/>
      <c r="E518" s="657" t="s">
        <v>53</v>
      </c>
      <c r="F518" s="2543" t="s">
        <v>2443</v>
      </c>
      <c r="G518" s="2543"/>
      <c r="H518" s="2543"/>
      <c r="I518" s="2543"/>
      <c r="J518" s="2543"/>
      <c r="K518" s="2543"/>
      <c r="L518" s="2543"/>
      <c r="M518" s="2543"/>
      <c r="N518" s="2543"/>
      <c r="O518" s="2543"/>
      <c r="P518" s="2543"/>
      <c r="Q518" s="2543"/>
      <c r="R518" s="2543"/>
      <c r="S518" s="2543"/>
      <c r="T518" s="2543"/>
      <c r="U518" s="2543"/>
      <c r="V518" s="2543"/>
      <c r="W518" s="2543"/>
      <c r="X518" s="2543"/>
      <c r="Y518" s="2543"/>
      <c r="Z518" s="2543"/>
      <c r="AA518" s="2543"/>
      <c r="AB518" s="2543"/>
      <c r="AC518" s="2543"/>
      <c r="AD518" s="2543"/>
      <c r="AE518" s="2543"/>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4"/>
      <c r="G519" s="2544"/>
      <c r="H519" s="2544"/>
      <c r="I519" s="2544"/>
      <c r="J519" s="2544"/>
      <c r="K519" s="2544"/>
      <c r="L519" s="2544"/>
      <c r="M519" s="2544"/>
      <c r="N519" s="2544"/>
      <c r="O519" s="2544"/>
      <c r="P519" s="2544"/>
      <c r="Q519" s="2544"/>
      <c r="R519" s="2544"/>
      <c r="S519" s="2544"/>
      <c r="T519" s="2544"/>
      <c r="U519" s="2544"/>
      <c r="V519" s="2544"/>
      <c r="W519" s="2544"/>
      <c r="X519" s="2544"/>
      <c r="Y519" s="2544"/>
      <c r="Z519" s="2544"/>
      <c r="AA519" s="2544"/>
      <c r="AB519" s="2544"/>
      <c r="AC519" s="2544"/>
      <c r="AD519" s="2544"/>
      <c r="AE519" s="2544"/>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2444</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5" t="s">
        <v>826</v>
      </c>
      <c r="G521" s="2545"/>
      <c r="H521" s="2545"/>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2200</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48" t="s">
        <v>826</v>
      </c>
      <c r="D523" s="2449"/>
      <c r="E523" s="657" t="s">
        <v>2445</v>
      </c>
      <c r="F523" s="676" t="s">
        <v>2446</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0"/>
      <c r="D525" s="2521"/>
      <c r="E525" s="668"/>
      <c r="F525" s="450" t="s">
        <v>2447</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2200</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2" t="s">
        <v>826</v>
      </c>
      <c r="H526" s="2522"/>
      <c r="I526" s="2522"/>
      <c r="J526" s="2522"/>
      <c r="K526" s="2522"/>
      <c r="L526" s="2522"/>
      <c r="M526" s="2522"/>
      <c r="N526" s="2522"/>
      <c r="O526" s="2522"/>
      <c r="P526" s="2522"/>
      <c r="Q526" s="2522"/>
      <c r="R526" s="2522"/>
      <c r="S526" s="2522"/>
      <c r="T526" s="2522"/>
      <c r="U526" s="2522"/>
      <c r="V526" s="2522"/>
      <c r="W526" s="2522"/>
      <c r="X526" s="2522"/>
      <c r="Y526" s="2522"/>
      <c r="Z526" s="2522"/>
      <c r="AA526" s="2522"/>
      <c r="AB526" s="2522"/>
      <c r="AC526" s="2522"/>
      <c r="AD526" s="2522"/>
      <c r="AE526" s="2522"/>
      <c r="AF526" s="2522"/>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3" t="s">
        <v>826</v>
      </c>
      <c r="D528" s="2524"/>
      <c r="F528" s="450" t="s">
        <v>2448</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2200</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2449</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2450</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3" t="s">
        <v>826</v>
      </c>
      <c r="D532" s="2524"/>
      <c r="F532" s="691" t="s">
        <v>2451</v>
      </c>
      <c r="G532" s="2317" t="s">
        <v>2452</v>
      </c>
      <c r="H532" s="2317"/>
      <c r="I532" s="2317"/>
      <c r="J532" s="2317"/>
      <c r="K532" s="2317"/>
      <c r="L532" s="2317"/>
      <c r="M532" s="2317"/>
      <c r="N532" s="2317"/>
      <c r="O532" s="2317"/>
      <c r="P532" s="2317"/>
      <c r="Q532" s="2317"/>
      <c r="R532" s="2317"/>
      <c r="S532" s="2317"/>
      <c r="T532" s="2317"/>
      <c r="U532" s="2317"/>
      <c r="V532" s="2317"/>
      <c r="W532" s="2317"/>
      <c r="X532" s="2317"/>
      <c r="Y532" s="2317"/>
      <c r="Z532" s="2317"/>
      <c r="AA532" s="2317"/>
      <c r="AB532" s="2317"/>
      <c r="AC532" s="2317"/>
      <c r="AD532" s="2317"/>
      <c r="AE532" s="2317"/>
      <c r="AF532" s="2317"/>
      <c r="AG532" s="511">
        <f>IF(AND($C$532="Yes",$C$523="Yes"),2,0)</f>
        <v>0</v>
      </c>
      <c r="AH532" s="538" t="s">
        <v>2200</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3"/>
      <c r="H533" s="2473"/>
      <c r="I533" s="2473"/>
      <c r="J533" s="2473"/>
      <c r="K533" s="2473"/>
      <c r="L533" s="2473"/>
      <c r="M533" s="2473"/>
      <c r="N533" s="2473"/>
      <c r="O533" s="2473"/>
      <c r="P533" s="2473"/>
      <c r="Q533" s="2473"/>
      <c r="R533" s="2473"/>
      <c r="S533" s="2473"/>
      <c r="T533" s="2473"/>
      <c r="U533" s="2473"/>
      <c r="V533" s="2473"/>
      <c r="W533" s="2473"/>
      <c r="X533" s="2473"/>
      <c r="Y533" s="2473"/>
      <c r="Z533" s="2473"/>
      <c r="AA533" s="2473"/>
      <c r="AB533" s="2473"/>
      <c r="AC533" s="2473"/>
      <c r="AD533" s="2473"/>
      <c r="AE533" s="2473"/>
      <c r="AF533" s="247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2453</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5" t="s">
        <v>826</v>
      </c>
      <c r="D536" s="2526"/>
      <c r="E536" s="698" t="s">
        <v>2454</v>
      </c>
      <c r="F536" s="667" t="s">
        <v>2455</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2200</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7" t="s">
        <v>826</v>
      </c>
      <c r="G537" s="2527"/>
      <c r="H537" s="2527"/>
      <c r="I537" s="2527"/>
      <c r="J537" s="2527"/>
      <c r="K537" s="2527"/>
      <c r="L537" s="2527"/>
      <c r="M537" s="2527"/>
      <c r="N537" s="2527"/>
      <c r="O537" s="2527"/>
      <c r="P537" s="2527"/>
      <c r="Q537" s="2527"/>
      <c r="R537" s="2527"/>
      <c r="S537" s="2527"/>
      <c r="T537" s="2527"/>
      <c r="U537" s="2527"/>
      <c r="V537" s="2527"/>
      <c r="W537" s="2527"/>
      <c r="X537" s="2527"/>
      <c r="Y537" s="2527"/>
      <c r="Z537" s="2527"/>
      <c r="AA537" s="2527"/>
      <c r="AB537" s="2527"/>
      <c r="AC537" s="2527"/>
      <c r="AD537" s="2527"/>
      <c r="AE537" s="2527"/>
      <c r="AF537" s="2527"/>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8"/>
      <c r="G538" s="2528"/>
      <c r="H538" s="2528"/>
      <c r="I538" s="2528"/>
      <c r="J538" s="2528"/>
      <c r="K538" s="2528"/>
      <c r="L538" s="2528"/>
      <c r="M538" s="2528"/>
      <c r="N538" s="2528"/>
      <c r="O538" s="2528"/>
      <c r="P538" s="2528"/>
      <c r="Q538" s="2528"/>
      <c r="R538" s="2528"/>
      <c r="S538" s="2528"/>
      <c r="T538" s="2528"/>
      <c r="U538" s="2528"/>
      <c r="V538" s="2528"/>
      <c r="W538" s="2528"/>
      <c r="X538" s="2528"/>
      <c r="Y538" s="2528"/>
      <c r="Z538" s="2528"/>
      <c r="AA538" s="2528"/>
      <c r="AB538" s="2528"/>
      <c r="AC538" s="2528"/>
      <c r="AD538" s="2528"/>
      <c r="AE538" s="2528"/>
      <c r="AF538" s="2528"/>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2456</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2457</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2458</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2459</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2460</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2461</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2462</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2463</v>
      </c>
      <c r="AK548" s="2404">
        <f>SUM(AG492:AG537)</f>
        <v>0</v>
      </c>
      <c r="AL548" s="2405"/>
      <c r="AM548" s="2406"/>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2464</v>
      </c>
      <c r="B551" s="439" t="s">
        <v>2465</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6" t="s">
        <v>2466</v>
      </c>
      <c r="AF551" s="2346"/>
      <c r="AG551" s="2346"/>
      <c r="AH551" s="2346"/>
      <c r="AI551" s="2346"/>
      <c r="AJ551" s="2346"/>
      <c r="AK551" s="2346"/>
      <c r="AL551" s="493"/>
      <c r="AM551" s="493"/>
      <c r="AN551" s="495"/>
    </row>
    <row r="552" spans="1:81" s="449" customFormat="1" ht="12.75" customHeight="1">
      <c r="A552" s="439"/>
      <c r="B552" s="439" t="s">
        <v>2196</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1" t="s">
        <v>862</v>
      </c>
      <c r="D554" s="2401"/>
      <c r="E554" s="450"/>
      <c r="F554" s="2452" t="s">
        <v>2467</v>
      </c>
      <c r="G554" s="2453"/>
      <c r="H554" s="2453"/>
      <c r="I554" s="2453"/>
      <c r="J554" s="2453"/>
      <c r="K554" s="2453"/>
      <c r="L554" s="2453"/>
      <c r="M554" s="2453"/>
      <c r="N554" s="2453"/>
      <c r="O554" s="2453"/>
      <c r="P554" s="2453"/>
      <c r="Q554" s="2453"/>
      <c r="R554" s="2453"/>
      <c r="S554" s="2453"/>
      <c r="T554" s="2453"/>
      <c r="U554" s="2453"/>
      <c r="V554" s="2453"/>
      <c r="W554" s="2453"/>
      <c r="X554" s="2453"/>
      <c r="Y554" s="2453"/>
      <c r="Z554" s="2453"/>
      <c r="AA554" s="2453"/>
      <c r="AB554" s="2453"/>
      <c r="AC554" s="2453"/>
      <c r="AD554" s="2453"/>
      <c r="AE554" s="2453"/>
      <c r="AF554" s="2453"/>
      <c r="AG554" s="2453"/>
      <c r="AH554" s="2453"/>
      <c r="AI554" s="2453"/>
      <c r="AJ554" s="2453"/>
      <c r="AK554" s="2453"/>
      <c r="AL554" s="2454"/>
      <c r="AM554" s="493"/>
      <c r="AN554" s="495"/>
    </row>
    <row r="555" spans="1:81" s="449" customFormat="1" ht="12.75" customHeight="1">
      <c r="B555" s="439"/>
      <c r="C555" s="450"/>
      <c r="D555" s="450"/>
      <c r="E555" s="450"/>
      <c r="F555" s="2455"/>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2456"/>
      <c r="AH555" s="2456"/>
      <c r="AI555" s="2456"/>
      <c r="AJ555" s="2456"/>
      <c r="AK555" s="2456"/>
      <c r="AL555" s="2457"/>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1" t="s">
        <v>826</v>
      </c>
      <c r="D557" s="2401"/>
      <c r="E557" s="702"/>
      <c r="F557" s="542" t="s">
        <v>2468</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5" t="s">
        <v>2469</v>
      </c>
      <c r="G558" s="2396"/>
      <c r="H558" s="2396"/>
      <c r="I558" s="2396"/>
      <c r="J558" s="2396"/>
      <c r="K558" s="2396"/>
      <c r="L558" s="2396"/>
      <c r="M558" s="2396"/>
      <c r="N558" s="2396"/>
      <c r="O558" s="2396"/>
      <c r="P558" s="2396"/>
      <c r="Q558" s="2396"/>
      <c r="R558" s="2396"/>
      <c r="S558" s="2396"/>
      <c r="T558" s="2396"/>
      <c r="U558" s="2396"/>
      <c r="V558" s="2396"/>
      <c r="W558" s="2396"/>
      <c r="X558" s="2396"/>
      <c r="Y558" s="2396"/>
      <c r="Z558" s="2396"/>
      <c r="AA558" s="2396"/>
      <c r="AB558" s="2396"/>
      <c r="AC558" s="2396"/>
      <c r="AD558" s="2396"/>
      <c r="AE558" s="2396"/>
      <c r="AF558" s="2396"/>
      <c r="AG558" s="2396"/>
      <c r="AH558" s="2396"/>
      <c r="AI558" s="2396"/>
      <c r="AJ558" s="2396"/>
      <c r="AK558" s="2396"/>
      <c r="AL558" s="2397"/>
      <c r="AM558" s="493"/>
      <c r="AN558" s="495"/>
      <c r="AS558" s="765"/>
      <c r="AT558" s="765"/>
      <c r="AU558" s="765"/>
      <c r="AV558" s="765"/>
      <c r="AW558" s="765"/>
    </row>
    <row r="559" spans="1:81" s="449" customFormat="1" ht="12.75" customHeight="1">
      <c r="B559" s="702"/>
      <c r="C559" s="702"/>
      <c r="D559" s="702"/>
      <c r="E559" s="702"/>
      <c r="F559" s="2395"/>
      <c r="G559" s="2396"/>
      <c r="H559" s="2396"/>
      <c r="I559" s="2396"/>
      <c r="J559" s="2396"/>
      <c r="K559" s="2396"/>
      <c r="L559" s="2396"/>
      <c r="M559" s="2396"/>
      <c r="N559" s="2396"/>
      <c r="O559" s="2396"/>
      <c r="P559" s="2396"/>
      <c r="Q559" s="2396"/>
      <c r="R559" s="2396"/>
      <c r="S559" s="2396"/>
      <c r="T559" s="2396"/>
      <c r="U559" s="2396"/>
      <c r="V559" s="2396"/>
      <c r="W559" s="2396"/>
      <c r="X559" s="2396"/>
      <c r="Y559" s="2396"/>
      <c r="Z559" s="2396"/>
      <c r="AA559" s="2396"/>
      <c r="AB559" s="2396"/>
      <c r="AC559" s="2396"/>
      <c r="AD559" s="2396"/>
      <c r="AE559" s="2396"/>
      <c r="AF559" s="2396"/>
      <c r="AG559" s="2396"/>
      <c r="AH559" s="2396"/>
      <c r="AI559" s="2396"/>
      <c r="AJ559" s="2396"/>
      <c r="AK559" s="2396"/>
      <c r="AL559" s="2397"/>
      <c r="AM559" s="493"/>
      <c r="AN559" s="495"/>
    </row>
    <row r="560" spans="1:81" s="449" customFormat="1" ht="12.75" customHeight="1">
      <c r="B560" s="702"/>
      <c r="C560" s="702"/>
      <c r="D560" s="702"/>
      <c r="E560" s="702"/>
      <c r="F560" s="707" t="s">
        <v>2470</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5" t="s">
        <v>2471</v>
      </c>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396"/>
      <c r="AI561" s="2396"/>
      <c r="AJ561" s="2396"/>
      <c r="AK561" s="2396"/>
      <c r="AL561" s="709"/>
      <c r="AM561" s="493"/>
      <c r="AN561" s="495"/>
    </row>
    <row r="562" spans="1:45" s="449" customFormat="1" ht="12.75" customHeight="1">
      <c r="B562" s="702"/>
      <c r="C562" s="702"/>
      <c r="D562" s="702"/>
      <c r="E562" s="702"/>
      <c r="F562" s="2398"/>
      <c r="G562" s="2399"/>
      <c r="H562" s="2399"/>
      <c r="I562" s="2399"/>
      <c r="J562" s="2399"/>
      <c r="K562" s="2399"/>
      <c r="L562" s="2399"/>
      <c r="M562" s="2399"/>
      <c r="N562" s="2399"/>
      <c r="O562" s="2399"/>
      <c r="P562" s="2399"/>
      <c r="Q562" s="2399"/>
      <c r="R562" s="2399"/>
      <c r="S562" s="2399"/>
      <c r="T562" s="2399"/>
      <c r="U562" s="2399"/>
      <c r="V562" s="2399"/>
      <c r="W562" s="2399"/>
      <c r="X562" s="2399"/>
      <c r="Y562" s="2399"/>
      <c r="Z562" s="2399"/>
      <c r="AA562" s="2399"/>
      <c r="AB562" s="2399"/>
      <c r="AC562" s="2399"/>
      <c r="AD562" s="2399"/>
      <c r="AE562" s="2399"/>
      <c r="AF562" s="2399"/>
      <c r="AG562" s="2399"/>
      <c r="AH562" s="2399"/>
      <c r="AI562" s="2399"/>
      <c r="AJ562" s="2399"/>
      <c r="AK562" s="2399"/>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4">
        <f>Application!AJ1001</f>
        <v>61660368</v>
      </c>
      <c r="AQ563" s="2534"/>
      <c r="AR563" s="2534"/>
      <c r="AS563" s="449" t="s">
        <v>2472</v>
      </c>
    </row>
    <row r="564" spans="1:45" s="449" customFormat="1" ht="12.75" customHeight="1">
      <c r="A564" s="399"/>
      <c r="B564" s="349" t="s">
        <v>2473</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7">
        <f>'Sources and Uses Budget'!S107+'Sources and Uses Budget'!T107</f>
        <v>75038301</v>
      </c>
      <c r="AG564" s="2407"/>
      <c r="AH564" s="2407"/>
      <c r="AI564" s="2407"/>
      <c r="AJ564" s="2407"/>
      <c r="AK564" s="493"/>
      <c r="AL564" s="493"/>
      <c r="AM564" s="493"/>
      <c r="AN564" s="495"/>
    </row>
    <row r="565" spans="1:45" s="449" customFormat="1" ht="12.75" customHeight="1">
      <c r="A565" s="523"/>
      <c r="B565" s="523" t="s">
        <v>2474</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8">
        <f>IFERROR(AP572,0)</f>
        <v>137416464</v>
      </c>
      <c r="AG565" s="2538"/>
      <c r="AH565" s="2538"/>
      <c r="AI565" s="2538"/>
      <c r="AJ565" s="2538"/>
      <c r="AK565" s="493"/>
      <c r="AL565" s="493"/>
      <c r="AM565" s="493"/>
      <c r="AN565" s="495"/>
      <c r="AP565" s="2534">
        <f>Application!AJ1054</f>
        <v>14798488.32</v>
      </c>
      <c r="AQ565" s="2534"/>
      <c r="AR565" s="2534"/>
      <c r="AS565" s="449" t="s">
        <v>1740</v>
      </c>
    </row>
    <row r="566" spans="1:45" s="449" customFormat="1" ht="12.75" customHeight="1">
      <c r="A566" s="522"/>
      <c r="B566" s="522" t="s">
        <v>1667</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39">
        <f>IFERROR(ROUNDDOWN(IF(C557="YES",((1-(AF564/AF565))*2),(1-(AF564/AF565))),2),0)</f>
        <v>0.45</v>
      </c>
      <c r="AG566" s="2539"/>
      <c r="AH566" s="2539"/>
      <c r="AI566" s="2539"/>
      <c r="AJ566" s="2539"/>
      <c r="AK566" s="493"/>
      <c r="AL566" s="493"/>
      <c r="AM566" s="493"/>
      <c r="AN566" s="495"/>
      <c r="AP566" s="2554">
        <f>Application!AJ1058</f>
        <v>62893575.359999999</v>
      </c>
      <c r="AQ566" s="2554"/>
      <c r="AR566" s="2554"/>
      <c r="AS566" s="449" t="s">
        <v>1750</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3">
        <f>IF(((AP565+AP566)/AP563)&gt;0.8,0.8,((AP565+AP566)/AP563))</f>
        <v>0.8</v>
      </c>
      <c r="AQ567" s="2533"/>
      <c r="AR567" s="2533"/>
      <c r="AS567" s="449" t="s">
        <v>2475</v>
      </c>
    </row>
    <row r="568" spans="1:45" s="449" customFormat="1" ht="12.75" customHeight="1">
      <c r="A568" s="522"/>
      <c r="B568" s="2480" t="s">
        <v>2476</v>
      </c>
      <c r="C568" s="2481"/>
      <c r="D568" s="2481"/>
      <c r="E568" s="2481"/>
      <c r="F568" s="2481"/>
      <c r="G568" s="2481"/>
      <c r="H568" s="2481"/>
      <c r="I568" s="2481"/>
      <c r="J568" s="2481"/>
      <c r="K568" s="2481"/>
      <c r="L568" s="2481"/>
      <c r="M568" s="2481"/>
      <c r="N568" s="2481"/>
      <c r="O568" s="2481"/>
      <c r="P568" s="2481"/>
      <c r="Q568" s="2481"/>
      <c r="R568" s="2481"/>
      <c r="S568" s="2481"/>
      <c r="T568" s="2481"/>
      <c r="U568" s="2481"/>
      <c r="V568" s="2481"/>
      <c r="W568" s="2481"/>
      <c r="X568" s="2481"/>
      <c r="Y568" s="2481"/>
      <c r="Z568" s="2481"/>
      <c r="AA568" s="2481"/>
      <c r="AB568" s="2481"/>
      <c r="AC568" s="2481"/>
      <c r="AD568" s="2481"/>
      <c r="AE568" s="2481"/>
      <c r="AF568" s="2481"/>
      <c r="AG568" s="2481"/>
      <c r="AH568" s="2481"/>
      <c r="AI568" s="2481"/>
      <c r="AJ568" s="2482"/>
      <c r="AK568" s="493"/>
      <c r="AL568" s="493"/>
      <c r="AM568" s="493"/>
      <c r="AN568" s="495"/>
    </row>
    <row r="569" spans="1:45" s="449" customFormat="1" ht="12.75" customHeight="1">
      <c r="A569" s="522"/>
      <c r="B569" s="2483"/>
      <c r="C569" s="2484"/>
      <c r="D569" s="2484"/>
      <c r="E569" s="2484"/>
      <c r="F569" s="2484"/>
      <c r="G569" s="2484"/>
      <c r="H569" s="2484"/>
      <c r="I569" s="2484"/>
      <c r="J569" s="2484"/>
      <c r="K569" s="2484"/>
      <c r="L569" s="2484"/>
      <c r="M569" s="2484"/>
      <c r="N569" s="2484"/>
      <c r="O569" s="2484"/>
      <c r="P569" s="2484"/>
      <c r="Q569" s="2484"/>
      <c r="R569" s="2484"/>
      <c r="S569" s="2484"/>
      <c r="T569" s="2484"/>
      <c r="U569" s="2484"/>
      <c r="V569" s="2484"/>
      <c r="W569" s="2484"/>
      <c r="X569" s="2484"/>
      <c r="Y569" s="2484"/>
      <c r="Z569" s="2484"/>
      <c r="AA569" s="2484"/>
      <c r="AB569" s="2484"/>
      <c r="AC569" s="2484"/>
      <c r="AD569" s="2484"/>
      <c r="AE569" s="2484"/>
      <c r="AF569" s="2484"/>
      <c r="AG569" s="2484"/>
      <c r="AH569" s="2484"/>
      <c r="AI569" s="2484"/>
      <c r="AJ569" s="2485"/>
      <c r="AK569" s="493"/>
      <c r="AL569" s="493"/>
      <c r="AM569" s="493"/>
      <c r="AN569" s="495"/>
      <c r="AP569" s="2534">
        <f>AP570-AP565-AP566</f>
        <v>88088169.599999979</v>
      </c>
      <c r="AQ569" s="2465"/>
      <c r="AR569" s="2465"/>
      <c r="AS569" s="449" t="s">
        <v>2477</v>
      </c>
    </row>
    <row r="570" spans="1:45" s="449" customFormat="1" ht="12.75" customHeight="1">
      <c r="A570" s="522"/>
      <c r="B570" s="2486"/>
      <c r="C570" s="2487"/>
      <c r="D570" s="2487"/>
      <c r="E570" s="2487"/>
      <c r="F570" s="2487"/>
      <c r="G570" s="2487"/>
      <c r="H570" s="2487"/>
      <c r="I570" s="2487"/>
      <c r="J570" s="2487"/>
      <c r="K570" s="2487"/>
      <c r="L570" s="2487"/>
      <c r="M570" s="2487"/>
      <c r="N570" s="2487"/>
      <c r="O570" s="2487"/>
      <c r="P570" s="2487"/>
      <c r="Q570" s="2487"/>
      <c r="R570" s="2487"/>
      <c r="S570" s="2487"/>
      <c r="T570" s="2487"/>
      <c r="U570" s="2487"/>
      <c r="V570" s="2487"/>
      <c r="W570" s="2487"/>
      <c r="X570" s="2487"/>
      <c r="Y570" s="2487"/>
      <c r="Z570" s="2487"/>
      <c r="AA570" s="2487"/>
      <c r="AB570" s="2487"/>
      <c r="AC570" s="2487"/>
      <c r="AD570" s="2487"/>
      <c r="AE570" s="2487"/>
      <c r="AF570" s="2487"/>
      <c r="AG570" s="2487"/>
      <c r="AH570" s="2487"/>
      <c r="AI570" s="2487"/>
      <c r="AJ570" s="2488"/>
      <c r="AK570" s="493"/>
      <c r="AL570" s="493"/>
      <c r="AM570" s="493"/>
      <c r="AN570" s="495"/>
      <c r="AP570" s="2534">
        <f>Application!AJ1062</f>
        <v>165780233.27999997</v>
      </c>
      <c r="AQ570" s="2534"/>
      <c r="AR570" s="2534"/>
      <c r="AS570" s="449" t="s">
        <v>2478</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2479</v>
      </c>
      <c r="AK572" s="2489">
        <f>IFERROR(IF(AND(C554="N/A",C557="N/A"),0,IF(AF566=0,0,IF((AF566*100)&gt;12,12,(AF566*100)))),0)</f>
        <v>12</v>
      </c>
      <c r="AL572" s="2489"/>
      <c r="AM572" s="2490"/>
      <c r="AN572" s="495"/>
      <c r="AP572" s="2547">
        <f>AP569+(AP563*AP567)</f>
        <v>137416464</v>
      </c>
      <c r="AQ572" s="2548"/>
      <c r="AR572" s="2549"/>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2480</v>
      </c>
      <c r="B575" s="439" t="s">
        <v>2481</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6" t="s">
        <v>2179</v>
      </c>
      <c r="AF575" s="2346"/>
      <c r="AG575" s="2346"/>
      <c r="AH575" s="2346"/>
      <c r="AI575" s="2346"/>
      <c r="AJ575" s="2346"/>
      <c r="AK575" s="2346"/>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6" t="s">
        <v>2482</v>
      </c>
      <c r="C577" s="2396"/>
      <c r="D577" s="2396"/>
      <c r="E577" s="2396"/>
      <c r="F577" s="2396"/>
      <c r="G577" s="2396"/>
      <c r="H577" s="2396"/>
      <c r="I577" s="2396"/>
      <c r="J577" s="2396"/>
      <c r="K577" s="2396"/>
      <c r="L577" s="2396"/>
      <c r="M577" s="2396"/>
      <c r="N577" s="2396"/>
      <c r="O577" s="2396"/>
      <c r="P577" s="2396"/>
      <c r="Q577" s="2396"/>
      <c r="R577" s="2396"/>
      <c r="S577" s="2396"/>
      <c r="T577" s="2396"/>
      <c r="U577" s="2396"/>
      <c r="V577" s="2396"/>
      <c r="W577" s="2396"/>
      <c r="X577" s="2396"/>
      <c r="Y577" s="2396"/>
      <c r="Z577" s="2396"/>
      <c r="AA577" s="2396"/>
      <c r="AB577" s="2396"/>
      <c r="AC577" s="2396"/>
      <c r="AD577" s="2396"/>
      <c r="AE577" s="2396"/>
      <c r="AF577" s="2396"/>
      <c r="AG577" s="2396"/>
      <c r="AH577" s="2396"/>
      <c r="AI577" s="2396"/>
      <c r="AJ577" s="2396"/>
      <c r="AK577" s="540"/>
      <c r="AL577" s="471"/>
      <c r="AM577" s="501"/>
      <c r="AN577" s="495"/>
    </row>
    <row r="578" spans="1:42" s="449" customFormat="1" ht="12.75" customHeight="1">
      <c r="A578" s="501"/>
      <c r="B578" s="2396"/>
      <c r="C578" s="2396"/>
      <c r="D578" s="2396"/>
      <c r="E578" s="2396"/>
      <c r="F578" s="2396"/>
      <c r="G578" s="2396"/>
      <c r="H578" s="2396"/>
      <c r="I578" s="2396"/>
      <c r="J578" s="2396"/>
      <c r="K578" s="2396"/>
      <c r="L578" s="2396"/>
      <c r="M578" s="2396"/>
      <c r="N578" s="2396"/>
      <c r="O578" s="2396"/>
      <c r="P578" s="2396"/>
      <c r="Q578" s="2396"/>
      <c r="R578" s="2396"/>
      <c r="S578" s="2396"/>
      <c r="T578" s="2396"/>
      <c r="U578" s="2396"/>
      <c r="V578" s="2396"/>
      <c r="W578" s="2396"/>
      <c r="X578" s="2396"/>
      <c r="Y578" s="2396"/>
      <c r="Z578" s="2396"/>
      <c r="AA578" s="2396"/>
      <c r="AB578" s="2396"/>
      <c r="AC578" s="2396"/>
      <c r="AD578" s="2396"/>
      <c r="AE578" s="2396"/>
      <c r="AF578" s="2396"/>
      <c r="AG578" s="2396"/>
      <c r="AH578" s="2396"/>
      <c r="AI578" s="2396"/>
      <c r="AJ578" s="2396"/>
      <c r="AK578" s="540"/>
      <c r="AL578" s="471"/>
      <c r="AM578" s="501"/>
      <c r="AN578" s="495"/>
    </row>
    <row r="579" spans="1:42" s="449" customFormat="1" ht="12.75" customHeight="1">
      <c r="A579" s="501"/>
      <c r="B579" s="2396"/>
      <c r="C579" s="2396"/>
      <c r="D579" s="2396"/>
      <c r="E579" s="2396"/>
      <c r="F579" s="2396"/>
      <c r="G579" s="2396"/>
      <c r="H579" s="2396"/>
      <c r="I579" s="2396"/>
      <c r="J579" s="2396"/>
      <c r="K579" s="2396"/>
      <c r="L579" s="2396"/>
      <c r="M579" s="2396"/>
      <c r="N579" s="2396"/>
      <c r="O579" s="2396"/>
      <c r="P579" s="2396"/>
      <c r="Q579" s="2396"/>
      <c r="R579" s="2396"/>
      <c r="S579" s="2396"/>
      <c r="T579" s="2396"/>
      <c r="U579" s="2396"/>
      <c r="V579" s="2396"/>
      <c r="W579" s="2396"/>
      <c r="X579" s="2396"/>
      <c r="Y579" s="2396"/>
      <c r="Z579" s="2396"/>
      <c r="AA579" s="2396"/>
      <c r="AB579" s="2396"/>
      <c r="AC579" s="2396"/>
      <c r="AD579" s="2396"/>
      <c r="AE579" s="2396"/>
      <c r="AF579" s="2396"/>
      <c r="AG579" s="2396"/>
      <c r="AH579" s="2396"/>
      <c r="AI579" s="2396"/>
      <c r="AJ579" s="2396"/>
      <c r="AK579" s="540"/>
      <c r="AL579" s="471"/>
      <c r="AM579" s="501"/>
      <c r="AN579" s="495"/>
    </row>
    <row r="580" spans="1:42" s="449" customFormat="1" ht="12.75" customHeight="1">
      <c r="A580" s="501"/>
      <c r="B580" s="2396"/>
      <c r="C580" s="2396"/>
      <c r="D580" s="2396"/>
      <c r="E580" s="2396"/>
      <c r="F580" s="2396"/>
      <c r="G580" s="2396"/>
      <c r="H580" s="2396"/>
      <c r="I580" s="2396"/>
      <c r="J580" s="2396"/>
      <c r="K580" s="2396"/>
      <c r="L580" s="2396"/>
      <c r="M580" s="2396"/>
      <c r="N580" s="2396"/>
      <c r="O580" s="2396"/>
      <c r="P580" s="2396"/>
      <c r="Q580" s="2396"/>
      <c r="R580" s="2396"/>
      <c r="S580" s="2396"/>
      <c r="T580" s="2396"/>
      <c r="U580" s="2396"/>
      <c r="V580" s="2396"/>
      <c r="W580" s="2396"/>
      <c r="X580" s="2396"/>
      <c r="Y580" s="2396"/>
      <c r="Z580" s="2396"/>
      <c r="AA580" s="2396"/>
      <c r="AB580" s="2396"/>
      <c r="AC580" s="2396"/>
      <c r="AD580" s="2396"/>
      <c r="AE580" s="2396"/>
      <c r="AF580" s="2396"/>
      <c r="AG580" s="2396"/>
      <c r="AH580" s="2396"/>
      <c r="AI580" s="2396"/>
      <c r="AJ580" s="2396"/>
      <c r="AK580" s="540"/>
      <c r="AL580" s="471"/>
      <c r="AM580" s="501"/>
      <c r="AN580" s="495"/>
    </row>
    <row r="581" spans="1:42" s="449" customFormat="1" ht="12.75" customHeight="1">
      <c r="A581" s="501"/>
      <c r="B581" s="2396"/>
      <c r="C581" s="2396"/>
      <c r="D581" s="2396"/>
      <c r="E581" s="2396"/>
      <c r="F581" s="2396"/>
      <c r="G581" s="2396"/>
      <c r="H581" s="2396"/>
      <c r="I581" s="2396"/>
      <c r="J581" s="2396"/>
      <c r="K581" s="2396"/>
      <c r="L581" s="2396"/>
      <c r="M581" s="2396"/>
      <c r="N581" s="2396"/>
      <c r="O581" s="2396"/>
      <c r="P581" s="2396"/>
      <c r="Q581" s="2396"/>
      <c r="R581" s="2396"/>
      <c r="S581" s="2396"/>
      <c r="T581" s="2396"/>
      <c r="U581" s="2396"/>
      <c r="V581" s="2396"/>
      <c r="W581" s="2396"/>
      <c r="X581" s="2396"/>
      <c r="Y581" s="2396"/>
      <c r="Z581" s="2396"/>
      <c r="AA581" s="2396"/>
      <c r="AB581" s="2396"/>
      <c r="AC581" s="2396"/>
      <c r="AD581" s="2396"/>
      <c r="AE581" s="2396"/>
      <c r="AF581" s="2396"/>
      <c r="AG581" s="2396"/>
      <c r="AH581" s="2396"/>
      <c r="AI581" s="2396"/>
      <c r="AJ581" s="2396"/>
      <c r="AK581" s="540"/>
      <c r="AL581" s="471"/>
      <c r="AM581" s="501"/>
      <c r="AN581" s="495"/>
    </row>
    <row r="582" spans="1:42" s="449" customFormat="1" ht="12.75" customHeight="1">
      <c r="A582" s="501"/>
      <c r="B582" s="2396"/>
      <c r="C582" s="2396"/>
      <c r="D582" s="2396"/>
      <c r="E582" s="2396"/>
      <c r="F582" s="2396"/>
      <c r="G582" s="2396"/>
      <c r="H582" s="2396"/>
      <c r="I582" s="2396"/>
      <c r="J582" s="2396"/>
      <c r="K582" s="2396"/>
      <c r="L582" s="2396"/>
      <c r="M582" s="2396"/>
      <c r="N582" s="2396"/>
      <c r="O582" s="2396"/>
      <c r="P582" s="2396"/>
      <c r="Q582" s="2396"/>
      <c r="R582" s="2396"/>
      <c r="S582" s="2396"/>
      <c r="T582" s="2396"/>
      <c r="U582" s="2396"/>
      <c r="V582" s="2396"/>
      <c r="W582" s="2396"/>
      <c r="X582" s="2396"/>
      <c r="Y582" s="2396"/>
      <c r="Z582" s="2396"/>
      <c r="AA582" s="2396"/>
      <c r="AB582" s="2396"/>
      <c r="AC582" s="2396"/>
      <c r="AD582" s="2396"/>
      <c r="AE582" s="2396"/>
      <c r="AF582" s="2396"/>
      <c r="AG582" s="2396"/>
      <c r="AH582" s="2396"/>
      <c r="AI582" s="2396"/>
      <c r="AJ582" s="2396"/>
      <c r="AK582" s="540"/>
      <c r="AL582" s="471"/>
      <c r="AM582" s="501"/>
      <c r="AN582" s="495"/>
    </row>
    <row r="583" spans="1:42" s="449" customFormat="1" ht="12.75" customHeight="1">
      <c r="A583" s="501"/>
      <c r="B583" s="2396"/>
      <c r="C583" s="2396"/>
      <c r="D583" s="2396"/>
      <c r="E583" s="2396"/>
      <c r="F583" s="2396"/>
      <c r="G583" s="2396"/>
      <c r="H583" s="2396"/>
      <c r="I583" s="2396"/>
      <c r="J583" s="2396"/>
      <c r="K583" s="2396"/>
      <c r="L583" s="2396"/>
      <c r="M583" s="2396"/>
      <c r="N583" s="2396"/>
      <c r="O583" s="2396"/>
      <c r="P583" s="2396"/>
      <c r="Q583" s="2396"/>
      <c r="R583" s="2396"/>
      <c r="S583" s="2396"/>
      <c r="T583" s="2396"/>
      <c r="U583" s="2396"/>
      <c r="V583" s="2396"/>
      <c r="W583" s="2396"/>
      <c r="X583" s="2396"/>
      <c r="Y583" s="2396"/>
      <c r="Z583" s="2396"/>
      <c r="AA583" s="2396"/>
      <c r="AB583" s="2396"/>
      <c r="AC583" s="2396"/>
      <c r="AD583" s="2396"/>
      <c r="AE583" s="2396"/>
      <c r="AF583" s="2396"/>
      <c r="AG583" s="2396"/>
      <c r="AH583" s="2396"/>
      <c r="AI583" s="2396"/>
      <c r="AJ583" s="2396"/>
      <c r="AK583" s="540"/>
      <c r="AL583" s="471"/>
      <c r="AM583" s="501"/>
      <c r="AN583" s="495"/>
    </row>
    <row r="584" spans="1:42" ht="12.75" customHeight="1">
      <c r="A584" s="501"/>
      <c r="B584" s="2396"/>
      <c r="C584" s="2396"/>
      <c r="D584" s="2396"/>
      <c r="E584" s="2396"/>
      <c r="F584" s="2396"/>
      <c r="G584" s="2396"/>
      <c r="H584" s="2396"/>
      <c r="I584" s="2396"/>
      <c r="J584" s="2396"/>
      <c r="K584" s="2396"/>
      <c r="L584" s="2396"/>
      <c r="M584" s="2396"/>
      <c r="N584" s="2396"/>
      <c r="O584" s="2396"/>
      <c r="P584" s="2396"/>
      <c r="Q584" s="2396"/>
      <c r="R584" s="2396"/>
      <c r="S584" s="2396"/>
      <c r="T584" s="2396"/>
      <c r="U584" s="2396"/>
      <c r="V584" s="2396"/>
      <c r="W584" s="2396"/>
      <c r="X584" s="2396"/>
      <c r="Y584" s="2396"/>
      <c r="Z584" s="2396"/>
      <c r="AA584" s="2396"/>
      <c r="AB584" s="2396"/>
      <c r="AC584" s="2396"/>
      <c r="AD584" s="2396"/>
      <c r="AE584" s="2396"/>
      <c r="AF584" s="2396"/>
      <c r="AG584" s="2396"/>
      <c r="AH584" s="2396"/>
      <c r="AI584" s="2396"/>
      <c r="AJ584" s="2396"/>
      <c r="AK584" s="540"/>
      <c r="AL584" s="471"/>
      <c r="AM584" s="501"/>
    </row>
    <row r="585" spans="1:42" s="449" customFormat="1" ht="12.75" customHeight="1">
      <c r="B585" s="2396"/>
      <c r="C585" s="2396"/>
      <c r="D585" s="2396"/>
      <c r="E585" s="2396"/>
      <c r="F585" s="2396"/>
      <c r="G585" s="2396"/>
      <c r="H585" s="2396"/>
      <c r="I585" s="2396"/>
      <c r="J585" s="2396"/>
      <c r="K585" s="2396"/>
      <c r="L585" s="2396"/>
      <c r="M585" s="2396"/>
      <c r="N585" s="2396"/>
      <c r="O585" s="2396"/>
      <c r="P585" s="2396"/>
      <c r="Q585" s="2396"/>
      <c r="R585" s="2396"/>
      <c r="S585" s="2396"/>
      <c r="T585" s="2396"/>
      <c r="U585" s="2396"/>
      <c r="V585" s="2396"/>
      <c r="W585" s="2396"/>
      <c r="X585" s="2396"/>
      <c r="Y585" s="2396"/>
      <c r="Z585" s="2396"/>
      <c r="AA585" s="2396"/>
      <c r="AB585" s="2396"/>
      <c r="AC585" s="2396"/>
      <c r="AD585" s="2396"/>
      <c r="AE585" s="2396"/>
      <c r="AF585" s="2396"/>
      <c r="AG585" s="2396"/>
      <c r="AH585" s="2396"/>
      <c r="AI585" s="2396"/>
      <c r="AJ585" s="2396"/>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2483</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862</v>
      </c>
    </row>
    <row r="589" spans="1:42" s="449" customFormat="1" ht="12.75" customHeight="1">
      <c r="C589" s="439" t="s">
        <v>2484</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2485</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79" t="s">
        <v>2224</v>
      </c>
      <c r="AG591" s="2379"/>
      <c r="AH591" s="2379"/>
      <c r="AI591" s="2379"/>
      <c r="AJ591" s="2379"/>
      <c r="AK591" s="2379"/>
      <c r="AL591" s="2379"/>
      <c r="AN591" s="495"/>
    </row>
    <row r="592" spans="1:42" s="449" customFormat="1" ht="12.75" customHeight="1">
      <c r="B592" s="436"/>
      <c r="C592" s="514"/>
      <c r="D592" s="559"/>
      <c r="E592" s="734" t="s">
        <v>2486</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2487</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2488</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2489</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2490</v>
      </c>
      <c r="AP595" s="449" t="b">
        <f>IF(Application!AF427&gt;=25,TRUE,FALSE)</f>
        <v>0</v>
      </c>
    </row>
    <row r="596" spans="1:42" s="449" customFormat="1" ht="12.75" customHeight="1">
      <c r="B596" s="436"/>
      <c r="C596" s="514"/>
      <c r="D596" s="559"/>
      <c r="E596" s="734" t="s">
        <v>2491</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788</v>
      </c>
      <c r="AP596" s="449" t="b">
        <f>Application!T199="Yes"</f>
        <v>1</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2492</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79" t="s">
        <v>2493</v>
      </c>
      <c r="AG598" s="2379"/>
      <c r="AH598" s="2379"/>
      <c r="AI598" s="2379"/>
      <c r="AJ598" s="2379"/>
      <c r="AK598" s="2379"/>
      <c r="AL598" s="2379"/>
      <c r="AN598" s="495"/>
    </row>
    <row r="599" spans="1:42" s="449" customFormat="1" ht="12.75" customHeight="1">
      <c r="B599" s="436"/>
      <c r="C599" s="823"/>
      <c r="D599" s="559"/>
      <c r="E599" s="734" t="s">
        <v>2494</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2495</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2496</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2497</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2498</v>
      </c>
      <c r="AP603" s="449">
        <v>4</v>
      </c>
    </row>
    <row r="604" spans="1:42" s="449" customFormat="1" ht="12.75" customHeight="1">
      <c r="B604" s="436"/>
      <c r="C604" s="821"/>
      <c r="D604" s="559" t="s">
        <v>49</v>
      </c>
      <c r="E604" s="734" t="s">
        <v>2499</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79" t="s">
        <v>2500</v>
      </c>
      <c r="AG604" s="2379"/>
      <c r="AH604" s="2379"/>
      <c r="AI604" s="2379"/>
      <c r="AJ604" s="2379"/>
      <c r="AK604" s="2379"/>
      <c r="AL604" s="2379"/>
      <c r="AN604" s="495"/>
      <c r="AO604" s="509" t="s">
        <v>2501</v>
      </c>
      <c r="AP604" s="449">
        <v>3</v>
      </c>
    </row>
    <row r="605" spans="1:42" s="449" customFormat="1" ht="12.75" customHeight="1">
      <c r="B605" s="436"/>
      <c r="C605" s="823"/>
      <c r="D605" s="559"/>
      <c r="E605" s="734" t="s">
        <v>2494</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2495</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2502</v>
      </c>
    </row>
    <row r="607" spans="1:42" s="449" customFormat="1" ht="12.75" customHeight="1">
      <c r="B607" s="436"/>
      <c r="C607" s="823"/>
      <c r="D607" s="559"/>
      <c r="E607" s="734" t="s">
        <v>2496</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2503</v>
      </c>
    </row>
    <row r="608" spans="1:42" s="449" customFormat="1" ht="12.75" customHeight="1">
      <c r="B608" s="436"/>
      <c r="C608" s="823"/>
      <c r="D608" s="559"/>
      <c r="E608" s="734" t="s">
        <v>2497</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2504</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2498</v>
      </c>
      <c r="E610" s="734" t="s">
        <v>2505</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79" t="s">
        <v>2506</v>
      </c>
      <c r="AG610" s="2379"/>
      <c r="AH610" s="2379"/>
      <c r="AI610" s="2379"/>
      <c r="AJ610" s="2379"/>
      <c r="AK610" s="2379"/>
      <c r="AL610" s="2379"/>
      <c r="AN610" s="495"/>
      <c r="AO610" s="449" t="str">
        <f>X647</f>
        <v>N/A</v>
      </c>
    </row>
    <row r="611" spans="1:53" s="449" customFormat="1" ht="12.75" customHeight="1">
      <c r="B611" s="436"/>
      <c r="C611" s="823"/>
      <c r="D611" s="559"/>
      <c r="E611" s="734" t="s">
        <v>2507</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2508</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2509</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2510</v>
      </c>
    </row>
    <row r="614" spans="1:53" s="449" customFormat="1" ht="12.75" customHeight="1">
      <c r="B614" s="508"/>
      <c r="C614" s="821"/>
      <c r="D614" s="559"/>
      <c r="E614" s="436" t="s">
        <v>2511</v>
      </c>
      <c r="O614" s="2461" t="s">
        <v>1045</v>
      </c>
      <c r="P614" s="2461"/>
      <c r="Q614" s="2461"/>
      <c r="R614" s="2461"/>
      <c r="S614" s="2461"/>
      <c r="T614" s="2461"/>
      <c r="U614" s="2461"/>
      <c r="V614" s="2461"/>
      <c r="W614" s="2461"/>
      <c r="X614" s="2461"/>
      <c r="Y614" s="2461"/>
      <c r="Z614" s="2461"/>
      <c r="AA614" s="2461"/>
      <c r="AB614" s="2461"/>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2501</v>
      </c>
      <c r="E616" s="734" t="s">
        <v>2512</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79" t="s">
        <v>2240</v>
      </c>
      <c r="AG616" s="2379"/>
      <c r="AH616" s="2379"/>
      <c r="AI616" s="2379"/>
      <c r="AJ616" s="2379"/>
      <c r="AK616" s="2379"/>
      <c r="AL616" s="2379"/>
      <c r="AN616" s="495"/>
    </row>
    <row r="617" spans="1:53" s="449" customFormat="1" ht="12.75" customHeight="1">
      <c r="B617" s="436"/>
      <c r="C617" s="821"/>
      <c r="D617" s="559"/>
      <c r="E617" s="734" t="s">
        <v>2513</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2514</v>
      </c>
      <c r="E619" s="826"/>
      <c r="F619" s="826"/>
      <c r="G619" s="826"/>
      <c r="H619" s="2459" t="s">
        <v>27</v>
      </c>
      <c r="I619" s="2459"/>
      <c r="J619" s="826"/>
      <c r="K619" s="826"/>
      <c r="L619" s="826"/>
      <c r="N619" s="19"/>
      <c r="O619" s="19"/>
      <c r="P619" s="19"/>
      <c r="Q619" s="1034" t="s">
        <v>2515</v>
      </c>
      <c r="R619" s="2462"/>
      <c r="S619" s="2462"/>
      <c r="T619" s="2462"/>
      <c r="U619" s="2462"/>
      <c r="V619" s="2462"/>
      <c r="W619" s="2462"/>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3" t="str">
        <f>IF(AND(H619="(i)",NOT(AP595)),AO612,IF(AND(H619="(iv)",OR(R619=AO608,R619=AO607),NOT(AP596)),AO613,""))</f>
        <v/>
      </c>
      <c r="Z620" s="2463"/>
      <c r="AA620" s="2463"/>
      <c r="AB620" s="2463"/>
      <c r="AC620" s="2463"/>
      <c r="AD620" s="2463"/>
      <c r="AE620" s="2463"/>
      <c r="AF620" s="2463"/>
      <c r="AG620" s="2463"/>
      <c r="AH620" s="2463"/>
      <c r="AI620" s="2463"/>
      <c r="AJ620" s="2463"/>
      <c r="AK620" s="2463"/>
      <c r="AL620" s="2463"/>
      <c r="AM620" s="2464"/>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3"/>
      <c r="Z621" s="2463"/>
      <c r="AA621" s="2463"/>
      <c r="AB621" s="2463"/>
      <c r="AC621" s="2463"/>
      <c r="AD621" s="2463"/>
      <c r="AE621" s="2463"/>
      <c r="AF621" s="2463"/>
      <c r="AG621" s="2463"/>
      <c r="AH621" s="2463"/>
      <c r="AI621" s="2463"/>
      <c r="AJ621" s="2463"/>
      <c r="AK621" s="2463"/>
      <c r="AL621" s="2463"/>
      <c r="AM621" s="2464"/>
      <c r="AN621" s="495"/>
      <c r="AO621" s="509"/>
      <c r="AT621" s="509"/>
    </row>
    <row r="622" spans="1:53" s="449" customFormat="1" ht="12.75" customHeight="1">
      <c r="B622" s="436"/>
      <c r="C622" s="823"/>
      <c r="D622" s="436" t="s">
        <v>2516</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2517</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2518</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2519</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2514</v>
      </c>
      <c r="F627" s="826"/>
      <c r="G627" s="826"/>
      <c r="I627" s="2460" t="s">
        <v>826</v>
      </c>
      <c r="J627" s="2460"/>
      <c r="K627" s="2460"/>
      <c r="L627" s="2460"/>
      <c r="M627" s="2460"/>
      <c r="N627" s="2460"/>
      <c r="O627" s="2460"/>
      <c r="P627" s="2460"/>
      <c r="Q627" s="2460"/>
      <c r="R627" s="2460"/>
      <c r="S627" s="2460"/>
      <c r="T627" s="2460"/>
      <c r="U627" s="2460"/>
      <c r="V627" s="2460"/>
      <c r="W627" s="2460"/>
      <c r="X627" s="2460"/>
      <c r="Y627" s="2460"/>
      <c r="Z627" s="2460"/>
      <c r="AA627" s="2460"/>
      <c r="AB627" s="2460"/>
      <c r="AC627" s="2460"/>
      <c r="AD627" s="2460"/>
      <c r="AE627" s="2460"/>
      <c r="AF627" s="436"/>
      <c r="AG627" s="436"/>
      <c r="AH627" s="436"/>
      <c r="AI627" s="436"/>
      <c r="AJ627" s="436"/>
      <c r="AK627" s="436"/>
      <c r="AL627" s="436"/>
      <c r="AN627" s="495"/>
      <c r="AO627" s="449" t="s">
        <v>2520</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2521</v>
      </c>
      <c r="AP628" s="449">
        <v>2</v>
      </c>
    </row>
    <row r="629" spans="1:42" s="449" customFormat="1" ht="12.75" customHeight="1">
      <c r="B629" s="2391" t="s">
        <v>826</v>
      </c>
      <c r="C629" s="2391"/>
      <c r="D629" s="540"/>
      <c r="E629" s="2396" t="s">
        <v>2522</v>
      </c>
      <c r="F629" s="2396"/>
      <c r="G629" s="2396"/>
      <c r="H629" s="2396"/>
      <c r="I629" s="2396"/>
      <c r="J629" s="2396"/>
      <c r="K629" s="2396"/>
      <c r="L629" s="2396"/>
      <c r="M629" s="2396"/>
      <c r="N629" s="2396"/>
      <c r="O629" s="2396"/>
      <c r="P629" s="2396"/>
      <c r="Q629" s="2396"/>
      <c r="R629" s="2396"/>
      <c r="S629" s="2396"/>
      <c r="T629" s="2396"/>
      <c r="U629" s="2396"/>
      <c r="V629" s="2396"/>
      <c r="W629" s="2396"/>
      <c r="X629" s="2396"/>
      <c r="Y629" s="2396"/>
      <c r="Z629" s="2396"/>
      <c r="AA629" s="2396"/>
      <c r="AB629" s="2396"/>
      <c r="AC629" s="2396"/>
      <c r="AD629" s="2396"/>
      <c r="AE629" s="2396"/>
      <c r="AF629" s="2396"/>
      <c r="AG629" s="2396"/>
      <c r="AH629" s="540"/>
      <c r="AI629" s="540"/>
      <c r="AJ629" s="540"/>
      <c r="AK629" s="540"/>
      <c r="AL629" s="540"/>
      <c r="AN629" s="495"/>
    </row>
    <row r="630" spans="1:42" s="449" customFormat="1" ht="12.75" customHeight="1">
      <c r="B630" s="436"/>
      <c r="C630" s="823"/>
      <c r="D630" s="540"/>
      <c r="E630" s="2396"/>
      <c r="F630" s="2396"/>
      <c r="G630" s="2396"/>
      <c r="H630" s="2396"/>
      <c r="I630" s="2396"/>
      <c r="J630" s="2396"/>
      <c r="K630" s="2396"/>
      <c r="L630" s="2396"/>
      <c r="M630" s="2396"/>
      <c r="N630" s="2396"/>
      <c r="O630" s="2396"/>
      <c r="P630" s="2396"/>
      <c r="Q630" s="2396"/>
      <c r="R630" s="2396"/>
      <c r="S630" s="2396"/>
      <c r="T630" s="2396"/>
      <c r="U630" s="2396"/>
      <c r="V630" s="2396"/>
      <c r="W630" s="2396"/>
      <c r="X630" s="2396"/>
      <c r="Y630" s="2396"/>
      <c r="Z630" s="2396"/>
      <c r="AA630" s="2396"/>
      <c r="AB630" s="2396"/>
      <c r="AC630" s="2396"/>
      <c r="AD630" s="2396"/>
      <c r="AE630" s="2396"/>
      <c r="AF630" s="2396"/>
      <c r="AG630" s="2396"/>
      <c r="AH630" s="540"/>
      <c r="AI630" s="540"/>
      <c r="AJ630" s="540"/>
      <c r="AK630" s="540"/>
      <c r="AL630" s="540"/>
      <c r="AN630" s="495"/>
    </row>
    <row r="631" spans="1:42" s="449" customFormat="1" ht="12.75" customHeight="1">
      <c r="B631" s="436"/>
      <c r="C631" s="823"/>
      <c r="D631" s="540"/>
      <c r="E631" s="2396"/>
      <c r="F631" s="2396"/>
      <c r="G631" s="2396"/>
      <c r="H631" s="2396"/>
      <c r="I631" s="2396"/>
      <c r="J631" s="2396"/>
      <c r="K631" s="2396"/>
      <c r="L631" s="2396"/>
      <c r="M631" s="2396"/>
      <c r="N631" s="2396"/>
      <c r="O631" s="2396"/>
      <c r="P631" s="2396"/>
      <c r="Q631" s="2396"/>
      <c r="R631" s="2396"/>
      <c r="S631" s="2396"/>
      <c r="T631" s="2396"/>
      <c r="U631" s="2396"/>
      <c r="V631" s="2396"/>
      <c r="W631" s="2396"/>
      <c r="X631" s="2396"/>
      <c r="Y631" s="2396"/>
      <c r="Z631" s="2396"/>
      <c r="AA631" s="2396"/>
      <c r="AB631" s="2396"/>
      <c r="AC631" s="2396"/>
      <c r="AD631" s="2396"/>
      <c r="AE631" s="2396"/>
      <c r="AF631" s="2396"/>
      <c r="AG631" s="2396"/>
      <c r="AH631" s="540"/>
      <c r="AI631" s="540"/>
      <c r="AJ631" s="540"/>
      <c r="AK631" s="540"/>
      <c r="AL631" s="540"/>
      <c r="AN631" s="495"/>
    </row>
    <row r="632" spans="1:42" s="449" customFormat="1" ht="12.75" customHeight="1">
      <c r="B632" s="436"/>
      <c r="C632" s="823"/>
      <c r="D632" s="540"/>
      <c r="E632" s="2396"/>
      <c r="F632" s="2396"/>
      <c r="G632" s="2396"/>
      <c r="H632" s="2396"/>
      <c r="I632" s="2396"/>
      <c r="J632" s="2396"/>
      <c r="K632" s="2396"/>
      <c r="L632" s="2396"/>
      <c r="M632" s="2396"/>
      <c r="N632" s="2396"/>
      <c r="O632" s="2396"/>
      <c r="P632" s="2396"/>
      <c r="Q632" s="2396"/>
      <c r="R632" s="2396"/>
      <c r="S632" s="2396"/>
      <c r="T632" s="2396"/>
      <c r="U632" s="2396"/>
      <c r="V632" s="2396"/>
      <c r="W632" s="2396"/>
      <c r="X632" s="2396"/>
      <c r="Y632" s="2396"/>
      <c r="Z632" s="2396"/>
      <c r="AA632" s="2396"/>
      <c r="AB632" s="2396"/>
      <c r="AC632" s="2396"/>
      <c r="AD632" s="2396"/>
      <c r="AE632" s="2396"/>
      <c r="AF632" s="2396"/>
      <c r="AG632" s="2396"/>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2523</v>
      </c>
      <c r="AJ634" s="2404">
        <f>VLOOKUP($H$619,$AO$599:$AP$604,2,FALSE)+IF(R619=AO607,0,VLOOKUP($I$627,$AO$626:$AP$628,2,FALSE))</f>
        <v>6</v>
      </c>
      <c r="AK634" s="2406"/>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2524</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8" t="s">
        <v>2525</v>
      </c>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439"/>
      <c r="AF638" s="2379" t="s">
        <v>2240</v>
      </c>
      <c r="AG638" s="2379"/>
      <c r="AH638" s="2379"/>
      <c r="AI638" s="2379"/>
      <c r="AJ638" s="2379"/>
      <c r="AK638" s="2379"/>
      <c r="AL638" s="2379"/>
      <c r="AM638" s="449"/>
      <c r="AN638" s="574"/>
    </row>
    <row r="639" spans="1:42" s="449" customFormat="1" ht="12.75" customHeight="1">
      <c r="A639" s="575"/>
      <c r="B639" s="436"/>
      <c r="C639" s="823"/>
      <c r="D639" s="559"/>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436"/>
      <c r="AF639" s="436"/>
      <c r="AG639" s="436"/>
      <c r="AH639" s="436"/>
      <c r="AI639" s="436"/>
      <c r="AJ639" s="436"/>
      <c r="AK639" s="436"/>
      <c r="AL639" s="436"/>
      <c r="AN639" s="495"/>
    </row>
    <row r="640" spans="1:42" s="449" customFormat="1" ht="12.75" customHeight="1">
      <c r="B640" s="436"/>
      <c r="C640" s="821"/>
      <c r="D640" s="559"/>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436"/>
      <c r="AF640" s="436"/>
      <c r="AG640" s="436"/>
      <c r="AH640" s="436"/>
      <c r="AI640" s="436"/>
      <c r="AJ640" s="436"/>
      <c r="AK640" s="436"/>
      <c r="AL640" s="436"/>
      <c r="AN640" s="495"/>
    </row>
    <row r="641" spans="1:42" s="449" customFormat="1" ht="12.75" customHeight="1">
      <c r="B641" s="436"/>
      <c r="C641" s="821"/>
      <c r="D641" s="559"/>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436"/>
      <c r="AF641" s="436"/>
      <c r="AG641" s="436"/>
      <c r="AH641" s="436"/>
      <c r="AI641" s="436"/>
      <c r="AJ641" s="436"/>
      <c r="AK641" s="436"/>
      <c r="AL641" s="436"/>
      <c r="AN641" s="495"/>
    </row>
    <row r="642" spans="1:42" s="449" customFormat="1" ht="12.75" customHeight="1">
      <c r="B642" s="436"/>
      <c r="C642" s="821"/>
      <c r="D642" s="559"/>
      <c r="E642" s="2458"/>
      <c r="F642" s="2458"/>
      <c r="G642" s="2458"/>
      <c r="H642" s="2458"/>
      <c r="I642" s="2458"/>
      <c r="J642" s="2458"/>
      <c r="K642" s="2458"/>
      <c r="L642" s="2458"/>
      <c r="M642" s="2458"/>
      <c r="N642" s="2458"/>
      <c r="O642" s="2458"/>
      <c r="P642" s="2458"/>
      <c r="Q642" s="2458"/>
      <c r="R642" s="2458"/>
      <c r="S642" s="2458"/>
      <c r="T642" s="2458"/>
      <c r="U642" s="2458"/>
      <c r="V642" s="2458"/>
      <c r="W642" s="2458"/>
      <c r="X642" s="2458"/>
      <c r="Y642" s="2458"/>
      <c r="Z642" s="2458"/>
      <c r="AA642" s="2458"/>
      <c r="AB642" s="2458"/>
      <c r="AC642" s="2458"/>
      <c r="AD642" s="2458"/>
      <c r="AE642" s="436"/>
      <c r="AF642" s="436"/>
      <c r="AG642" s="436"/>
      <c r="AH642" s="436"/>
      <c r="AI642" s="436"/>
      <c r="AJ642" s="436"/>
      <c r="AK642" s="436"/>
      <c r="AL642" s="436"/>
      <c r="AN642" s="495"/>
    </row>
    <row r="643" spans="1:42" s="449" customFormat="1" ht="12.75" customHeight="1">
      <c r="B643" s="436"/>
      <c r="C643" s="821"/>
      <c r="D643" s="559"/>
      <c r="E643" s="2458"/>
      <c r="F643" s="2458"/>
      <c r="G643" s="2458"/>
      <c r="H643" s="2458"/>
      <c r="I643" s="2458"/>
      <c r="J643" s="2458"/>
      <c r="K643" s="2458"/>
      <c r="L643" s="2458"/>
      <c r="M643" s="2458"/>
      <c r="N643" s="2458"/>
      <c r="O643" s="2458"/>
      <c r="P643" s="2458"/>
      <c r="Q643" s="2458"/>
      <c r="R643" s="2458"/>
      <c r="S643" s="2458"/>
      <c r="T643" s="2458"/>
      <c r="U643" s="2458"/>
      <c r="V643" s="2458"/>
      <c r="W643" s="2458"/>
      <c r="X643" s="2458"/>
      <c r="Y643" s="2458"/>
      <c r="Z643" s="2458"/>
      <c r="AA643" s="2458"/>
      <c r="AB643" s="2458"/>
      <c r="AC643" s="2458"/>
      <c r="AD643" s="2458"/>
      <c r="AE643" s="436"/>
      <c r="AF643" s="436"/>
      <c r="AG643" s="436"/>
      <c r="AH643" s="436"/>
      <c r="AI643" s="436"/>
      <c r="AJ643" s="436"/>
      <c r="AK643" s="436"/>
      <c r="AL643" s="436"/>
      <c r="AN643" s="495"/>
    </row>
    <row r="644" spans="1:42" s="449" customFormat="1" ht="12.75" customHeight="1">
      <c r="A644" s="535"/>
      <c r="B644" s="514"/>
      <c r="C644" s="830"/>
      <c r="D644" s="559"/>
      <c r="E644" s="2458"/>
      <c r="F644" s="2458"/>
      <c r="G644" s="2458"/>
      <c r="H644" s="2458"/>
      <c r="I644" s="2458"/>
      <c r="J644" s="2458"/>
      <c r="K644" s="2458"/>
      <c r="L644" s="2458"/>
      <c r="M644" s="2458"/>
      <c r="N644" s="2458"/>
      <c r="O644" s="2458"/>
      <c r="P644" s="2458"/>
      <c r="Q644" s="2458"/>
      <c r="R644" s="2458"/>
      <c r="S644" s="2458"/>
      <c r="T644" s="2458"/>
      <c r="U644" s="2458"/>
      <c r="V644" s="2458"/>
      <c r="W644" s="2458"/>
      <c r="X644" s="2458"/>
      <c r="Y644" s="2458"/>
      <c r="Z644" s="2458"/>
      <c r="AA644" s="2458"/>
      <c r="AB644" s="2458"/>
      <c r="AC644" s="2458"/>
      <c r="AD644" s="2458"/>
      <c r="AE644" s="514"/>
      <c r="AF644" s="514"/>
      <c r="AG644" s="514"/>
      <c r="AH644" s="514"/>
      <c r="AI644" s="514"/>
      <c r="AJ644" s="514"/>
      <c r="AK644" s="436"/>
      <c r="AL644" s="436"/>
      <c r="AN644" s="495"/>
    </row>
    <row r="645" spans="1:42" s="449" customFormat="1" ht="12.75" customHeight="1">
      <c r="B645" s="514"/>
      <c r="C645" s="830"/>
      <c r="D645" s="559"/>
      <c r="E645" s="2458"/>
      <c r="F645" s="2458"/>
      <c r="G645" s="2458"/>
      <c r="H645" s="2458"/>
      <c r="I645" s="2458"/>
      <c r="J645" s="2458"/>
      <c r="K645" s="2458"/>
      <c r="L645" s="2458"/>
      <c r="M645" s="2458"/>
      <c r="N645" s="2458"/>
      <c r="O645" s="2458"/>
      <c r="P645" s="2458"/>
      <c r="Q645" s="2458"/>
      <c r="R645" s="2458"/>
      <c r="S645" s="2458"/>
      <c r="T645" s="2458"/>
      <c r="U645" s="2458"/>
      <c r="V645" s="2458"/>
      <c r="W645" s="2458"/>
      <c r="X645" s="2458"/>
      <c r="Y645" s="2458"/>
      <c r="Z645" s="2458"/>
      <c r="AA645" s="2458"/>
      <c r="AB645" s="2458"/>
      <c r="AC645" s="2458"/>
      <c r="AD645" s="2458"/>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2526</v>
      </c>
      <c r="F647" s="831"/>
      <c r="G647" s="831"/>
      <c r="H647" s="831"/>
      <c r="I647" s="831"/>
      <c r="J647" s="831"/>
      <c r="K647" s="831"/>
      <c r="L647" s="831"/>
      <c r="M647" s="831"/>
      <c r="N647" s="831"/>
      <c r="O647" s="831"/>
      <c r="P647" s="831"/>
      <c r="Q647" s="831"/>
      <c r="R647" s="831"/>
      <c r="U647" s="831"/>
      <c r="V647" s="831"/>
      <c r="W647" s="831"/>
      <c r="X647" s="2391" t="s">
        <v>826</v>
      </c>
      <c r="Y647" s="2391"/>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2527</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79" t="s">
        <v>2528</v>
      </c>
      <c r="AG649" s="2379"/>
      <c r="AH649" s="2379"/>
      <c r="AI649" s="2379"/>
      <c r="AJ649" s="2379"/>
      <c r="AK649" s="2379"/>
      <c r="AL649" s="2379"/>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2498</v>
      </c>
      <c r="AP650" s="576">
        <v>4</v>
      </c>
    </row>
    <row r="651" spans="1:42" s="449" customFormat="1" ht="12.75" customHeight="1">
      <c r="B651" s="436"/>
      <c r="C651" s="821"/>
      <c r="D651" s="436" t="s">
        <v>2514</v>
      </c>
      <c r="E651" s="826"/>
      <c r="F651" s="826"/>
      <c r="G651" s="826"/>
      <c r="H651" s="2459" t="s">
        <v>22</v>
      </c>
      <c r="I651" s="2459"/>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2501</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2529</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2530</v>
      </c>
      <c r="AJ653" s="2404">
        <f>VLOOKUP($H$651,$AO$618:$AP$620,2,FALSE)</f>
        <v>3</v>
      </c>
      <c r="AK653" s="2406"/>
      <c r="AL653" s="493"/>
      <c r="AN653" s="495"/>
      <c r="AO653" s="509" t="s">
        <v>2531</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2532</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6" t="s">
        <v>2533</v>
      </c>
      <c r="F657" s="2396"/>
      <c r="G657" s="2396"/>
      <c r="H657" s="2396"/>
      <c r="I657" s="2396"/>
      <c r="J657" s="2396"/>
      <c r="K657" s="2396"/>
      <c r="L657" s="2396"/>
      <c r="M657" s="2396"/>
      <c r="N657" s="2396"/>
      <c r="O657" s="2396"/>
      <c r="P657" s="2396"/>
      <c r="Q657" s="2396"/>
      <c r="R657" s="2396"/>
      <c r="S657" s="2396"/>
      <c r="T657" s="2396"/>
      <c r="U657" s="2396"/>
      <c r="V657" s="2396"/>
      <c r="W657" s="2396"/>
      <c r="X657" s="2396"/>
      <c r="Y657" s="2396"/>
      <c r="Z657" s="2396"/>
      <c r="AA657" s="2396"/>
      <c r="AB657" s="2396"/>
      <c r="AC657" s="2396"/>
      <c r="AD657" s="2396"/>
      <c r="AE657" s="436"/>
      <c r="AF657" s="2379" t="s">
        <v>2240</v>
      </c>
      <c r="AG657" s="2379"/>
      <c r="AH657" s="2379"/>
      <c r="AI657" s="2379"/>
      <c r="AJ657" s="2379"/>
      <c r="AK657" s="2379"/>
      <c r="AL657" s="2379"/>
      <c r="AN657" s="495"/>
    </row>
    <row r="658" spans="1:42" s="449" customFormat="1" ht="12.75" customHeight="1">
      <c r="B658" s="436"/>
      <c r="C658" s="436"/>
      <c r="D658" s="559"/>
      <c r="E658" s="2396"/>
      <c r="F658" s="2396"/>
      <c r="G658" s="2396"/>
      <c r="H658" s="2396"/>
      <c r="I658" s="2396"/>
      <c r="J658" s="2396"/>
      <c r="K658" s="2396"/>
      <c r="L658" s="2396"/>
      <c r="M658" s="2396"/>
      <c r="N658" s="2396"/>
      <c r="O658" s="2396"/>
      <c r="P658" s="2396"/>
      <c r="Q658" s="2396"/>
      <c r="R658" s="2396"/>
      <c r="S658" s="2396"/>
      <c r="T658" s="2396"/>
      <c r="U658" s="2396"/>
      <c r="V658" s="2396"/>
      <c r="W658" s="2396"/>
      <c r="X658" s="2396"/>
      <c r="Y658" s="2396"/>
      <c r="Z658" s="2396"/>
      <c r="AA658" s="2396"/>
      <c r="AB658" s="2396"/>
      <c r="AC658" s="2396"/>
      <c r="AD658" s="2396"/>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2534</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79" t="s">
        <v>2528</v>
      </c>
      <c r="AG660" s="2379"/>
      <c r="AH660" s="2379"/>
      <c r="AI660" s="2379"/>
      <c r="AJ660" s="2379"/>
      <c r="AK660" s="2379"/>
      <c r="AL660" s="2379"/>
      <c r="AN660" s="495"/>
    </row>
    <row r="661" spans="1:42" s="449" customFormat="1" ht="12.75" customHeight="1">
      <c r="B661" s="436"/>
      <c r="C661" s="821"/>
      <c r="D661" s="559"/>
      <c r="E661" s="514" t="s">
        <v>2535</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2514</v>
      </c>
      <c r="E663" s="826"/>
      <c r="F663" s="826"/>
      <c r="G663" s="826"/>
      <c r="H663" s="2459" t="s">
        <v>27</v>
      </c>
      <c r="I663" s="2459"/>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2536</v>
      </c>
      <c r="AJ665" s="2404">
        <f>VLOOKUP(H663,AT618:AU620,2,FALSE)</f>
        <v>2</v>
      </c>
      <c r="AK665" s="2406"/>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2537</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2538</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6" t="s">
        <v>2539</v>
      </c>
      <c r="F670" s="2396"/>
      <c r="G670" s="2396"/>
      <c r="H670" s="2396"/>
      <c r="I670" s="2396"/>
      <c r="J670" s="2396"/>
      <c r="K670" s="2396"/>
      <c r="L670" s="2396"/>
      <c r="M670" s="2396"/>
      <c r="N670" s="2396"/>
      <c r="O670" s="2396"/>
      <c r="P670" s="2396"/>
      <c r="Q670" s="2396"/>
      <c r="R670" s="2396"/>
      <c r="S670" s="2396"/>
      <c r="T670" s="2396"/>
      <c r="U670" s="2396"/>
      <c r="V670" s="2396"/>
      <c r="W670" s="2396"/>
      <c r="X670" s="2396"/>
      <c r="Y670" s="2396"/>
      <c r="Z670" s="2396"/>
      <c r="AA670" s="2396"/>
      <c r="AB670" s="2396"/>
      <c r="AC670" s="2396"/>
      <c r="AD670" s="436"/>
      <c r="AE670" s="436"/>
      <c r="AF670" s="2379" t="s">
        <v>2500</v>
      </c>
      <c r="AG670" s="2379"/>
      <c r="AH670" s="2379"/>
      <c r="AI670" s="2379"/>
      <c r="AJ670" s="2379"/>
      <c r="AK670" s="2379"/>
      <c r="AL670" s="2379"/>
      <c r="AN670" s="495"/>
    </row>
    <row r="671" spans="1:42" s="449" customFormat="1" ht="12.75" customHeight="1">
      <c r="B671" s="436"/>
      <c r="C671" s="439"/>
      <c r="D671" s="436"/>
      <c r="E671" s="2396"/>
      <c r="F671" s="2396"/>
      <c r="G671" s="2396"/>
      <c r="H671" s="2396"/>
      <c r="I671" s="2396"/>
      <c r="J671" s="2396"/>
      <c r="K671" s="2396"/>
      <c r="L671" s="2396"/>
      <c r="M671" s="2396"/>
      <c r="N671" s="2396"/>
      <c r="O671" s="2396"/>
      <c r="P671" s="2396"/>
      <c r="Q671" s="2396"/>
      <c r="R671" s="2396"/>
      <c r="S671" s="2396"/>
      <c r="T671" s="2396"/>
      <c r="U671" s="2396"/>
      <c r="V671" s="2396"/>
      <c r="W671" s="2396"/>
      <c r="X671" s="2396"/>
      <c r="Y671" s="2396"/>
      <c r="Z671" s="2396"/>
      <c r="AA671" s="2396"/>
      <c r="AB671" s="2396"/>
      <c r="AC671" s="2396"/>
      <c r="AD671" s="436"/>
      <c r="AE671" s="436"/>
      <c r="AF671" s="436"/>
      <c r="AG671" s="436"/>
      <c r="AH671" s="436"/>
      <c r="AI671" s="436"/>
      <c r="AJ671" s="436"/>
      <c r="AK671" s="436"/>
      <c r="AL671" s="436"/>
      <c r="AN671" s="495"/>
    </row>
    <row r="672" spans="1:42" s="449" customFormat="1" ht="12.75" customHeight="1">
      <c r="B672" s="436"/>
      <c r="C672" s="439"/>
      <c r="D672" s="559"/>
      <c r="E672" s="2396"/>
      <c r="F672" s="2396"/>
      <c r="G672" s="2396"/>
      <c r="H672" s="2396"/>
      <c r="I672" s="2396"/>
      <c r="J672" s="2396"/>
      <c r="K672" s="2396"/>
      <c r="L672" s="2396"/>
      <c r="M672" s="2396"/>
      <c r="N672" s="2396"/>
      <c r="O672" s="2396"/>
      <c r="P672" s="2396"/>
      <c r="Q672" s="2396"/>
      <c r="R672" s="2396"/>
      <c r="S672" s="2396"/>
      <c r="T672" s="2396"/>
      <c r="U672" s="2396"/>
      <c r="V672" s="2396"/>
      <c r="W672" s="2396"/>
      <c r="X672" s="2396"/>
      <c r="Y672" s="2396"/>
      <c r="Z672" s="2396"/>
      <c r="AA672" s="2396"/>
      <c r="AB672" s="2396"/>
      <c r="AC672" s="2396"/>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6" t="s">
        <v>2540</v>
      </c>
      <c r="F674" s="2396"/>
      <c r="G674" s="2396"/>
      <c r="H674" s="2396"/>
      <c r="I674" s="2396"/>
      <c r="J674" s="2396"/>
      <c r="K674" s="2396"/>
      <c r="L674" s="2396"/>
      <c r="M674" s="2396"/>
      <c r="N674" s="2396"/>
      <c r="O674" s="2396"/>
      <c r="P674" s="2396"/>
      <c r="Q674" s="2396"/>
      <c r="R674" s="2396"/>
      <c r="S674" s="2396"/>
      <c r="T674" s="2396"/>
      <c r="U674" s="2396"/>
      <c r="V674" s="2396"/>
      <c r="W674" s="2396"/>
      <c r="X674" s="2396"/>
      <c r="Y674" s="2396"/>
      <c r="Z674" s="2396"/>
      <c r="AA674" s="2396"/>
      <c r="AB674" s="2396"/>
      <c r="AC674" s="2396"/>
      <c r="AD674" s="436"/>
      <c r="AE674" s="436"/>
      <c r="AF674" s="2379" t="s">
        <v>2506</v>
      </c>
      <c r="AG674" s="2379"/>
      <c r="AH674" s="2379"/>
      <c r="AI674" s="2379"/>
      <c r="AJ674" s="2379"/>
      <c r="AK674" s="2379"/>
      <c r="AL674" s="2379"/>
      <c r="AN674" s="495"/>
    </row>
    <row r="675" spans="1:42" s="449" customFormat="1" ht="12.75" customHeight="1">
      <c r="B675" s="436"/>
      <c r="C675" s="439"/>
      <c r="D675" s="436"/>
      <c r="E675" s="2396"/>
      <c r="F675" s="2396"/>
      <c r="G675" s="2396"/>
      <c r="H675" s="2396"/>
      <c r="I675" s="2396"/>
      <c r="J675" s="2396"/>
      <c r="K675" s="2396"/>
      <c r="L675" s="2396"/>
      <c r="M675" s="2396"/>
      <c r="N675" s="2396"/>
      <c r="O675" s="2396"/>
      <c r="P675" s="2396"/>
      <c r="Q675" s="2396"/>
      <c r="R675" s="2396"/>
      <c r="S675" s="2396"/>
      <c r="T675" s="2396"/>
      <c r="U675" s="2396"/>
      <c r="V675" s="2396"/>
      <c r="W675" s="2396"/>
      <c r="X675" s="2396"/>
      <c r="Y675" s="2396"/>
      <c r="Z675" s="2396"/>
      <c r="AA675" s="2396"/>
      <c r="AB675" s="2396"/>
      <c r="AC675" s="2396"/>
      <c r="AD675" s="436"/>
      <c r="AE675" s="436"/>
      <c r="AF675" s="436"/>
      <c r="AG675" s="436"/>
      <c r="AH675" s="436"/>
      <c r="AI675" s="436"/>
      <c r="AJ675" s="436"/>
      <c r="AK675" s="436"/>
      <c r="AL675" s="436"/>
      <c r="AN675" s="495"/>
    </row>
    <row r="676" spans="1:42" s="449" customFormat="1" ht="15" customHeight="1">
      <c r="B676" s="436"/>
      <c r="C676" s="439"/>
      <c r="D676" s="559"/>
      <c r="E676" s="2396"/>
      <c r="F676" s="2396"/>
      <c r="G676" s="2396"/>
      <c r="H676" s="2396"/>
      <c r="I676" s="2396"/>
      <c r="J676" s="2396"/>
      <c r="K676" s="2396"/>
      <c r="L676" s="2396"/>
      <c r="M676" s="2396"/>
      <c r="N676" s="2396"/>
      <c r="O676" s="2396"/>
      <c r="P676" s="2396"/>
      <c r="Q676" s="2396"/>
      <c r="R676" s="2396"/>
      <c r="S676" s="2396"/>
      <c r="T676" s="2396"/>
      <c r="U676" s="2396"/>
      <c r="V676" s="2396"/>
      <c r="W676" s="2396"/>
      <c r="X676" s="2396"/>
      <c r="Y676" s="2396"/>
      <c r="Z676" s="2396"/>
      <c r="AA676" s="2396"/>
      <c r="AB676" s="2396"/>
      <c r="AC676" s="2396"/>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6" t="s">
        <v>2541</v>
      </c>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436"/>
      <c r="AE678" s="436"/>
      <c r="AF678" s="2379" t="s">
        <v>2240</v>
      </c>
      <c r="AG678" s="2379"/>
      <c r="AH678" s="2379"/>
      <c r="AI678" s="2379"/>
      <c r="AJ678" s="2379"/>
      <c r="AK678" s="2379"/>
      <c r="AL678" s="2379"/>
      <c r="AN678" s="495"/>
    </row>
    <row r="679" spans="1:42" s="449" customFormat="1" ht="12.75" customHeight="1">
      <c r="B679" s="436"/>
      <c r="C679" s="821"/>
      <c r="D679" s="43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436"/>
      <c r="AE679" s="2379"/>
      <c r="AF679" s="2379"/>
      <c r="AG679" s="2379"/>
      <c r="AH679" s="2379"/>
      <c r="AI679" s="2379"/>
      <c r="AJ679" s="2379"/>
      <c r="AK679" s="2379"/>
      <c r="AL679" s="492"/>
      <c r="AN679" s="495"/>
      <c r="AO679" s="449" t="s">
        <v>826</v>
      </c>
      <c r="AP679" s="569">
        <v>0</v>
      </c>
    </row>
    <row r="680" spans="1:42" s="449" customFormat="1" ht="12.75" customHeight="1">
      <c r="A680" s="575"/>
      <c r="B680" s="436"/>
      <c r="C680" s="436"/>
      <c r="D680" s="559"/>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2498</v>
      </c>
      <c r="E682" s="2396" t="s">
        <v>2542</v>
      </c>
      <c r="F682" s="2396"/>
      <c r="G682" s="2396"/>
      <c r="H682" s="2396"/>
      <c r="I682" s="2396"/>
      <c r="J682" s="2396"/>
      <c r="K682" s="2396"/>
      <c r="L682" s="2396"/>
      <c r="M682" s="2396"/>
      <c r="N682" s="2396"/>
      <c r="O682" s="2396"/>
      <c r="P682" s="2396"/>
      <c r="Q682" s="2396"/>
      <c r="R682" s="2396"/>
      <c r="S682" s="2396"/>
      <c r="T682" s="2396"/>
      <c r="U682" s="2396"/>
      <c r="V682" s="2396"/>
      <c r="W682" s="2396"/>
      <c r="X682" s="2396"/>
      <c r="Y682" s="2396"/>
      <c r="Z682" s="2396"/>
      <c r="AA682" s="2396"/>
      <c r="AB682" s="2396"/>
      <c r="AC682" s="2396"/>
      <c r="AD682" s="436"/>
      <c r="AE682" s="436"/>
      <c r="AF682" s="2379" t="s">
        <v>2506</v>
      </c>
      <c r="AG682" s="2379"/>
      <c r="AH682" s="2379"/>
      <c r="AI682" s="2379"/>
      <c r="AJ682" s="2379"/>
      <c r="AK682" s="2379"/>
      <c r="AL682" s="2379"/>
      <c r="AN682" s="495"/>
    </row>
    <row r="683" spans="1:42" s="449" customFormat="1" ht="12.75" customHeight="1">
      <c r="A683" s="566"/>
      <c r="B683" s="436"/>
      <c r="C683" s="837"/>
      <c r="D683" s="559"/>
      <c r="E683" s="2396"/>
      <c r="F683" s="2396"/>
      <c r="G683" s="2396"/>
      <c r="H683" s="2396"/>
      <c r="I683" s="2396"/>
      <c r="J683" s="2396"/>
      <c r="K683" s="2396"/>
      <c r="L683" s="2396"/>
      <c r="M683" s="2396"/>
      <c r="N683" s="2396"/>
      <c r="O683" s="2396"/>
      <c r="P683" s="2396"/>
      <c r="Q683" s="2396"/>
      <c r="R683" s="2396"/>
      <c r="S683" s="2396"/>
      <c r="T683" s="2396"/>
      <c r="U683" s="2396"/>
      <c r="V683" s="2396"/>
      <c r="W683" s="2396"/>
      <c r="X683" s="2396"/>
      <c r="Y683" s="2396"/>
      <c r="Z683" s="2396"/>
      <c r="AA683" s="2396"/>
      <c r="AB683" s="2396"/>
      <c r="AC683" s="2396"/>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6"/>
      <c r="F684" s="2396"/>
      <c r="G684" s="2396"/>
      <c r="H684" s="2396"/>
      <c r="I684" s="2396"/>
      <c r="J684" s="2396"/>
      <c r="K684" s="2396"/>
      <c r="L684" s="2396"/>
      <c r="M684" s="2396"/>
      <c r="N684" s="2396"/>
      <c r="O684" s="2396"/>
      <c r="P684" s="2396"/>
      <c r="Q684" s="2396"/>
      <c r="R684" s="2396"/>
      <c r="S684" s="2396"/>
      <c r="T684" s="2396"/>
      <c r="U684" s="2396"/>
      <c r="V684" s="2396"/>
      <c r="W684" s="2396"/>
      <c r="X684" s="2396"/>
      <c r="Y684" s="2396"/>
      <c r="Z684" s="2396"/>
      <c r="AA684" s="2396"/>
      <c r="AB684" s="2396"/>
      <c r="AC684" s="2396"/>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2501</v>
      </c>
      <c r="E686" s="2396" t="s">
        <v>2543</v>
      </c>
      <c r="F686" s="2396"/>
      <c r="G686" s="2396"/>
      <c r="H686" s="2396"/>
      <c r="I686" s="2396"/>
      <c r="J686" s="2396"/>
      <c r="K686" s="2396"/>
      <c r="L686" s="2396"/>
      <c r="M686" s="2396"/>
      <c r="N686" s="2396"/>
      <c r="O686" s="2396"/>
      <c r="P686" s="2396"/>
      <c r="Q686" s="2396"/>
      <c r="R686" s="2396"/>
      <c r="S686" s="2396"/>
      <c r="T686" s="2396"/>
      <c r="U686" s="2396"/>
      <c r="V686" s="2396"/>
      <c r="W686" s="2396"/>
      <c r="X686" s="2396"/>
      <c r="Y686" s="2396"/>
      <c r="Z686" s="2396"/>
      <c r="AA686" s="2396"/>
      <c r="AB686" s="2396"/>
      <c r="AC686" s="2396"/>
      <c r="AD686" s="436"/>
      <c r="AE686" s="436"/>
      <c r="AF686" s="2379" t="s">
        <v>2240</v>
      </c>
      <c r="AG686" s="2379"/>
      <c r="AH686" s="2379"/>
      <c r="AI686" s="2379"/>
      <c r="AJ686" s="2379"/>
      <c r="AK686" s="2379"/>
      <c r="AL686" s="2379"/>
      <c r="AM686" s="494"/>
      <c r="AN686" s="495"/>
    </row>
    <row r="687" spans="1:42" s="449" customFormat="1" ht="12.75" customHeight="1">
      <c r="B687" s="436"/>
      <c r="C687" s="821"/>
      <c r="D687" s="559"/>
      <c r="E687" s="2396"/>
      <c r="F687" s="2396"/>
      <c r="G687" s="2396"/>
      <c r="H687" s="2396"/>
      <c r="I687" s="2396"/>
      <c r="J687" s="2396"/>
      <c r="K687" s="2396"/>
      <c r="L687" s="2396"/>
      <c r="M687" s="2396"/>
      <c r="N687" s="2396"/>
      <c r="O687" s="2396"/>
      <c r="P687" s="2396"/>
      <c r="Q687" s="2396"/>
      <c r="R687" s="2396"/>
      <c r="S687" s="2396"/>
      <c r="T687" s="2396"/>
      <c r="U687" s="2396"/>
      <c r="V687" s="2396"/>
      <c r="W687" s="2396"/>
      <c r="X687" s="2396"/>
      <c r="Y687" s="2396"/>
      <c r="Z687" s="2396"/>
      <c r="AA687" s="2396"/>
      <c r="AB687" s="2396"/>
      <c r="AC687" s="2396"/>
      <c r="AD687" s="436"/>
      <c r="AE687" s="436"/>
      <c r="AF687" s="436"/>
      <c r="AG687" s="436"/>
      <c r="AH687" s="436"/>
      <c r="AI687" s="436"/>
      <c r="AJ687" s="436"/>
      <c r="AK687" s="436"/>
      <c r="AL687" s="436"/>
      <c r="AM687" s="494"/>
      <c r="AN687" s="495"/>
    </row>
    <row r="688" spans="1:42" s="449" customFormat="1" ht="12.75" customHeight="1">
      <c r="B688" s="436"/>
      <c r="C688" s="821"/>
      <c r="D688" s="559"/>
      <c r="E688" s="2396"/>
      <c r="F688" s="2396"/>
      <c r="G688" s="2396"/>
      <c r="H688" s="2396"/>
      <c r="I688" s="2396"/>
      <c r="J688" s="2396"/>
      <c r="K688" s="2396"/>
      <c r="L688" s="2396"/>
      <c r="M688" s="2396"/>
      <c r="N688" s="2396"/>
      <c r="O688" s="2396"/>
      <c r="P688" s="2396"/>
      <c r="Q688" s="2396"/>
      <c r="R688" s="2396"/>
      <c r="S688" s="2396"/>
      <c r="T688" s="2396"/>
      <c r="U688" s="2396"/>
      <c r="V688" s="2396"/>
      <c r="W688" s="2396"/>
      <c r="X688" s="2396"/>
      <c r="Y688" s="2396"/>
      <c r="Z688" s="2396"/>
      <c r="AA688" s="2396"/>
      <c r="AB688" s="2396"/>
      <c r="AC688" s="2396"/>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2529</v>
      </c>
      <c r="E690" s="2396" t="s">
        <v>2544</v>
      </c>
      <c r="F690" s="2396"/>
      <c r="G690" s="2396"/>
      <c r="H690" s="2396"/>
      <c r="I690" s="2396"/>
      <c r="J690" s="2396"/>
      <c r="K690" s="2396"/>
      <c r="L690" s="2396"/>
      <c r="M690" s="2396"/>
      <c r="N690" s="2396"/>
      <c r="O690" s="2396"/>
      <c r="P690" s="2396"/>
      <c r="Q690" s="2396"/>
      <c r="R690" s="2396"/>
      <c r="S690" s="2396"/>
      <c r="T690" s="2396"/>
      <c r="U690" s="2396"/>
      <c r="V690" s="2396"/>
      <c r="W690" s="2396"/>
      <c r="X690" s="2396"/>
      <c r="Y690" s="2396"/>
      <c r="Z690" s="2396"/>
      <c r="AA690" s="2396"/>
      <c r="AB690" s="2396"/>
      <c r="AC690" s="2396"/>
      <c r="AD690" s="436"/>
      <c r="AE690" s="436"/>
      <c r="AF690" s="2379" t="s">
        <v>2528</v>
      </c>
      <c r="AG690" s="2379"/>
      <c r="AH690" s="2379"/>
      <c r="AI690" s="2379"/>
      <c r="AJ690" s="2379"/>
      <c r="AK690" s="2379"/>
      <c r="AL690" s="2379"/>
      <c r="AM690" s="494"/>
      <c r="AN690" s="495"/>
    </row>
    <row r="691" spans="1:50" s="449" customFormat="1" ht="12.75" customHeight="1">
      <c r="A691" s="575"/>
      <c r="B691" s="436"/>
      <c r="C691" s="821"/>
      <c r="D691" s="559"/>
      <c r="E691" s="2396"/>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2396"/>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2396"/>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2531</v>
      </c>
      <c r="E694" s="2396" t="s">
        <v>2545</v>
      </c>
      <c r="F694" s="2396"/>
      <c r="G694" s="2396"/>
      <c r="H694" s="2396"/>
      <c r="I694" s="2396"/>
      <c r="J694" s="2396"/>
      <c r="K694" s="2396"/>
      <c r="L694" s="2396"/>
      <c r="M694" s="2396"/>
      <c r="N694" s="2396"/>
      <c r="O694" s="2396"/>
      <c r="P694" s="2396"/>
      <c r="Q694" s="2396"/>
      <c r="R694" s="2396"/>
      <c r="S694" s="2396"/>
      <c r="T694" s="2396"/>
      <c r="U694" s="2396"/>
      <c r="V694" s="2396"/>
      <c r="W694" s="2396"/>
      <c r="X694" s="2396"/>
      <c r="Y694" s="2396"/>
      <c r="Z694" s="2396"/>
      <c r="AA694" s="2396"/>
      <c r="AB694" s="2396"/>
      <c r="AC694" s="2396"/>
      <c r="AD694" s="436"/>
      <c r="AE694" s="436"/>
      <c r="AF694" s="2379" t="s">
        <v>2546</v>
      </c>
      <c r="AG694" s="2379"/>
      <c r="AH694" s="2379"/>
      <c r="AI694" s="2379"/>
      <c r="AJ694" s="2379"/>
      <c r="AK694" s="2379"/>
      <c r="AL694" s="2379"/>
      <c r="AM694" s="494"/>
      <c r="AN694" s="495"/>
      <c r="AO694" s="509" t="s">
        <v>22</v>
      </c>
      <c r="AP694" s="449">
        <v>3</v>
      </c>
    </row>
    <row r="695" spans="1:50" s="449" customFormat="1" ht="12.75" customHeight="1">
      <c r="A695" s="575"/>
      <c r="B695" s="436"/>
      <c r="C695" s="821"/>
      <c r="D695" s="559"/>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6"/>
      <c r="F696" s="2396"/>
      <c r="G696" s="2396"/>
      <c r="H696" s="2396"/>
      <c r="I696" s="2396"/>
      <c r="J696" s="2396"/>
      <c r="K696" s="2396"/>
      <c r="L696" s="2396"/>
      <c r="M696" s="2396"/>
      <c r="N696" s="2396"/>
      <c r="O696" s="2396"/>
      <c r="P696" s="2396"/>
      <c r="Q696" s="2396"/>
      <c r="R696" s="2396"/>
      <c r="S696" s="2396"/>
      <c r="T696" s="2396"/>
      <c r="U696" s="2396"/>
      <c r="V696" s="2396"/>
      <c r="W696" s="2396"/>
      <c r="X696" s="2396"/>
      <c r="Y696" s="2396"/>
      <c r="Z696" s="2396"/>
      <c r="AA696" s="2396"/>
      <c r="AB696" s="2396"/>
      <c r="AC696" s="2396"/>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2514</v>
      </c>
      <c r="E698" s="826"/>
      <c r="F698" s="826"/>
      <c r="G698" s="826"/>
      <c r="H698" s="2459" t="s">
        <v>22</v>
      </c>
      <c r="I698" s="2459"/>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2547</v>
      </c>
      <c r="AJ700" s="2404">
        <f>VLOOKUP($H$698,$AO$646:$AP$653,2,FALSE)</f>
        <v>5</v>
      </c>
      <c r="AK700" s="2406"/>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2548</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2549</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2550</v>
      </c>
      <c r="AX703" s="1035">
        <f>Application!G761</f>
        <v>99</v>
      </c>
    </row>
    <row r="704" spans="1:50" s="449" customFormat="1" ht="12.75" customHeight="1">
      <c r="A704" s="575"/>
      <c r="B704" s="436"/>
      <c r="C704" s="838"/>
      <c r="D704" s="559" t="s">
        <v>22</v>
      </c>
      <c r="E704" s="2466" t="s">
        <v>2551</v>
      </c>
      <c r="F704" s="2466"/>
      <c r="G704" s="2466"/>
      <c r="H704" s="2466"/>
      <c r="I704" s="2466"/>
      <c r="J704" s="2466"/>
      <c r="K704" s="2466"/>
      <c r="L704" s="2466"/>
      <c r="M704" s="2466"/>
      <c r="N704" s="2466"/>
      <c r="O704" s="2466"/>
      <c r="P704" s="2466"/>
      <c r="Q704" s="2466"/>
      <c r="R704" s="2466"/>
      <c r="S704" s="2466"/>
      <c r="T704" s="2466"/>
      <c r="U704" s="2466"/>
      <c r="V704" s="2466"/>
      <c r="W704" s="2466"/>
      <c r="X704" s="2466"/>
      <c r="Y704" s="2466"/>
      <c r="Z704" s="2466"/>
      <c r="AA704" s="2466"/>
      <c r="AB704" s="2466"/>
      <c r="AC704" s="436"/>
      <c r="AD704" s="436"/>
      <c r="AE704" s="436"/>
      <c r="AF704" s="2379" t="s">
        <v>2240</v>
      </c>
      <c r="AG704" s="2379"/>
      <c r="AH704" s="2379"/>
      <c r="AI704" s="2379"/>
      <c r="AJ704" s="2379"/>
      <c r="AK704" s="2379"/>
      <c r="AL704" s="2379"/>
      <c r="AN704" s="495"/>
      <c r="AW704" s="19" t="s">
        <v>2552</v>
      </c>
      <c r="AX704" s="449">
        <f>Application!DE761</f>
        <v>26</v>
      </c>
    </row>
    <row r="705" spans="1:51" s="449" customFormat="1" ht="12.75" customHeight="1">
      <c r="A705" s="575"/>
      <c r="B705" s="436"/>
      <c r="C705" s="838"/>
      <c r="D705" s="559"/>
      <c r="E705" s="2466"/>
      <c r="F705" s="2466"/>
      <c r="G705" s="2466"/>
      <c r="H705" s="2466"/>
      <c r="I705" s="2466"/>
      <c r="J705" s="2466"/>
      <c r="K705" s="2466"/>
      <c r="L705" s="2466"/>
      <c r="M705" s="2466"/>
      <c r="N705" s="2466"/>
      <c r="O705" s="2466"/>
      <c r="P705" s="2466"/>
      <c r="Q705" s="2466"/>
      <c r="R705" s="2466"/>
      <c r="S705" s="2466"/>
      <c r="T705" s="2466"/>
      <c r="U705" s="2466"/>
      <c r="V705" s="2466"/>
      <c r="W705" s="2466"/>
      <c r="X705" s="2466"/>
      <c r="Y705" s="2466"/>
      <c r="Z705" s="2466"/>
      <c r="AA705" s="2466"/>
      <c r="AB705" s="2466"/>
      <c r="AC705" s="436"/>
      <c r="AD705" s="436"/>
      <c r="AE705" s="436"/>
      <c r="AF705" s="436"/>
      <c r="AG705" s="436"/>
      <c r="AH705" s="436"/>
      <c r="AI705" s="436"/>
      <c r="AJ705" s="436"/>
      <c r="AK705" s="436"/>
      <c r="AL705" s="436"/>
      <c r="AN705" s="495"/>
      <c r="AW705" s="19" t="s">
        <v>2553</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2554</v>
      </c>
      <c r="AX706" s="449">
        <f>Application!DO761</f>
        <v>0</v>
      </c>
    </row>
    <row r="707" spans="1:51" s="449" customFormat="1" ht="12.75" customHeight="1">
      <c r="B707" s="436"/>
      <c r="C707" s="821"/>
      <c r="D707" s="559" t="s">
        <v>27</v>
      </c>
      <c r="E707" s="2396" t="s">
        <v>2555</v>
      </c>
      <c r="F707" s="2396"/>
      <c r="G707" s="2396"/>
      <c r="H707" s="2396"/>
      <c r="I707" s="2396"/>
      <c r="J707" s="2396"/>
      <c r="K707" s="2396"/>
      <c r="L707" s="2396"/>
      <c r="M707" s="2396"/>
      <c r="N707" s="2396"/>
      <c r="O707" s="2396"/>
      <c r="P707" s="2396"/>
      <c r="Q707" s="2396"/>
      <c r="R707" s="2396"/>
      <c r="S707" s="2396"/>
      <c r="T707" s="2396"/>
      <c r="U707" s="2396"/>
      <c r="V707" s="2396"/>
      <c r="W707" s="2396"/>
      <c r="X707" s="2396"/>
      <c r="Y707" s="2396"/>
      <c r="Z707" s="2396"/>
      <c r="AA707" s="2396"/>
      <c r="AB707" s="2396"/>
      <c r="AC707" s="436"/>
      <c r="AD707" s="436"/>
      <c r="AE707" s="436"/>
      <c r="AF707" s="2379" t="s">
        <v>2240</v>
      </c>
      <c r="AG707" s="2379"/>
      <c r="AH707" s="2379"/>
      <c r="AI707" s="2379"/>
      <c r="AJ707" s="2379"/>
      <c r="AK707" s="2379"/>
      <c r="AL707" s="2379"/>
      <c r="AN707" s="495"/>
      <c r="AW707" s="19" t="s">
        <v>2556</v>
      </c>
      <c r="AX707" s="449">
        <f>AX704+AX705+AX706</f>
        <v>26</v>
      </c>
    </row>
    <row r="708" spans="1:51" s="449" customFormat="1" ht="12.75" customHeight="1">
      <c r="B708" s="436"/>
      <c r="C708" s="830"/>
      <c r="D708" s="559"/>
      <c r="E708" s="2396"/>
      <c r="F708" s="2396"/>
      <c r="G708" s="2396"/>
      <c r="H708" s="2396"/>
      <c r="I708" s="2396"/>
      <c r="J708" s="2396"/>
      <c r="K708" s="2396"/>
      <c r="L708" s="2396"/>
      <c r="M708" s="2396"/>
      <c r="N708" s="2396"/>
      <c r="O708" s="2396"/>
      <c r="P708" s="2396"/>
      <c r="Q708" s="2396"/>
      <c r="R708" s="2396"/>
      <c r="S708" s="2396"/>
      <c r="T708" s="2396"/>
      <c r="U708" s="2396"/>
      <c r="V708" s="2396"/>
      <c r="W708" s="2396"/>
      <c r="X708" s="2396"/>
      <c r="Y708" s="2396"/>
      <c r="Z708" s="2396"/>
      <c r="AA708" s="2396"/>
      <c r="AB708" s="2396"/>
      <c r="AC708" s="436"/>
      <c r="AD708" s="436"/>
      <c r="AE708" s="514"/>
      <c r="AF708" s="436"/>
      <c r="AG708" s="436"/>
      <c r="AH708" s="436"/>
      <c r="AI708" s="436"/>
      <c r="AJ708" s="436"/>
      <c r="AK708" s="436"/>
      <c r="AL708" s="436"/>
      <c r="AN708" s="495"/>
      <c r="AO708" s="2465" t="b">
        <f>IF(Application!D211="Special Needs",IF(AY708&gt;=0.25,TRUE,FALSE),IF(AX708&gt;=0.25,TRUE,FALSE))</f>
        <v>1</v>
      </c>
      <c r="AP708" s="2465"/>
      <c r="AW708" s="19" t="s">
        <v>2557</v>
      </c>
      <c r="AX708" s="449">
        <f>IFERROR(AX707/AX703,0)</f>
        <v>0.26262626262626265</v>
      </c>
      <c r="AY708" s="449">
        <f>IFERROR(AX707/(AX703-AX702),0)</f>
        <v>0.26262626262626265</v>
      </c>
    </row>
    <row r="709" spans="1:51" s="449" customFormat="1" ht="12.75" customHeight="1">
      <c r="B709" s="436"/>
      <c r="C709" s="830"/>
      <c r="E709" s="2396"/>
      <c r="F709" s="2396"/>
      <c r="G709" s="2396"/>
      <c r="H709" s="2396"/>
      <c r="I709" s="2396"/>
      <c r="J709" s="2396"/>
      <c r="K709" s="2396"/>
      <c r="L709" s="2396"/>
      <c r="M709" s="2396"/>
      <c r="N709" s="2396"/>
      <c r="O709" s="2396"/>
      <c r="P709" s="2396"/>
      <c r="Q709" s="2396"/>
      <c r="R709" s="2396"/>
      <c r="S709" s="2396"/>
      <c r="T709" s="2396"/>
      <c r="U709" s="2396"/>
      <c r="V709" s="2396"/>
      <c r="W709" s="2396"/>
      <c r="X709" s="2396"/>
      <c r="Y709" s="2396"/>
      <c r="Z709" s="2396"/>
      <c r="AA709" s="2396"/>
      <c r="AB709" s="2396"/>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6"/>
      <c r="F710" s="2396"/>
      <c r="G710" s="2396"/>
      <c r="H710" s="2396"/>
      <c r="I710" s="2396"/>
      <c r="J710" s="2396"/>
      <c r="K710" s="2396"/>
      <c r="L710" s="2396"/>
      <c r="M710" s="2396"/>
      <c r="N710" s="2396"/>
      <c r="O710" s="2396"/>
      <c r="P710" s="2396"/>
      <c r="Q710" s="2396"/>
      <c r="R710" s="2396"/>
      <c r="S710" s="2396"/>
      <c r="T710" s="2396"/>
      <c r="U710" s="2396"/>
      <c r="V710" s="2396"/>
      <c r="W710" s="2396"/>
      <c r="X710" s="2396"/>
      <c r="Y710" s="2396"/>
      <c r="Z710" s="2396"/>
      <c r="AA710" s="2396"/>
      <c r="AB710" s="2396"/>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6" t="s">
        <v>2558</v>
      </c>
      <c r="F712" s="2396"/>
      <c r="G712" s="2396"/>
      <c r="H712" s="2396"/>
      <c r="I712" s="2396"/>
      <c r="J712" s="2396"/>
      <c r="K712" s="2396"/>
      <c r="L712" s="2396"/>
      <c r="M712" s="2396"/>
      <c r="N712" s="2396"/>
      <c r="O712" s="2396"/>
      <c r="P712" s="2396"/>
      <c r="Q712" s="2396"/>
      <c r="R712" s="2396"/>
      <c r="S712" s="2396"/>
      <c r="T712" s="2396"/>
      <c r="U712" s="2396"/>
      <c r="V712" s="2396"/>
      <c r="W712" s="2396"/>
      <c r="X712" s="2396"/>
      <c r="Y712" s="2396"/>
      <c r="Z712" s="2396"/>
      <c r="AA712" s="2396"/>
      <c r="AB712" s="2396"/>
      <c r="AC712" s="436"/>
      <c r="AD712" s="436"/>
      <c r="AE712" s="436"/>
      <c r="AF712" s="2379" t="s">
        <v>2528</v>
      </c>
      <c r="AG712" s="2379"/>
      <c r="AH712" s="2379"/>
      <c r="AI712" s="2379"/>
      <c r="AJ712" s="2379"/>
      <c r="AK712" s="2379"/>
      <c r="AL712" s="2379"/>
      <c r="AN712" s="495"/>
      <c r="AO712" s="509" t="s">
        <v>27</v>
      </c>
      <c r="AP712" s="449">
        <v>1</v>
      </c>
    </row>
    <row r="713" spans="1:51" s="449" customFormat="1" ht="12" customHeight="1">
      <c r="B713" s="436"/>
      <c r="C713" s="821"/>
      <c r="E713" s="2396"/>
      <c r="F713" s="2396"/>
      <c r="G713" s="2396"/>
      <c r="H713" s="2396"/>
      <c r="I713" s="2396"/>
      <c r="J713" s="2396"/>
      <c r="K713" s="2396"/>
      <c r="L713" s="2396"/>
      <c r="M713" s="2396"/>
      <c r="N713" s="2396"/>
      <c r="O713" s="2396"/>
      <c r="P713" s="2396"/>
      <c r="Q713" s="2396"/>
      <c r="R713" s="2396"/>
      <c r="S713" s="2396"/>
      <c r="T713" s="2396"/>
      <c r="U713" s="2396"/>
      <c r="V713" s="2396"/>
      <c r="W713" s="2396"/>
      <c r="X713" s="2396"/>
      <c r="Y713" s="2396"/>
      <c r="Z713" s="2396"/>
      <c r="AA713" s="2396"/>
      <c r="AB713" s="2396"/>
      <c r="AC713" s="436"/>
      <c r="AD713" s="436"/>
      <c r="AE713" s="514"/>
      <c r="AF713" s="436"/>
      <c r="AG713" s="436"/>
      <c r="AH713" s="436"/>
      <c r="AI713" s="436"/>
      <c r="AJ713" s="436"/>
      <c r="AK713" s="436"/>
      <c r="AL713" s="436"/>
      <c r="AN713" s="495"/>
    </row>
    <row r="714" spans="1:51" s="449" customFormat="1" ht="12" customHeight="1">
      <c r="B714" s="436"/>
      <c r="C714" s="821"/>
      <c r="D714" s="436"/>
      <c r="E714" s="2396"/>
      <c r="F714" s="2396"/>
      <c r="G714" s="2396"/>
      <c r="H714" s="2396"/>
      <c r="I714" s="2396"/>
      <c r="J714" s="2396"/>
      <c r="K714" s="2396"/>
      <c r="L714" s="2396"/>
      <c r="M714" s="2396"/>
      <c r="N714" s="2396"/>
      <c r="O714" s="2396"/>
      <c r="P714" s="2396"/>
      <c r="Q714" s="2396"/>
      <c r="R714" s="2396"/>
      <c r="S714" s="2396"/>
      <c r="T714" s="2396"/>
      <c r="U714" s="2396"/>
      <c r="V714" s="2396"/>
      <c r="W714" s="2396"/>
      <c r="X714" s="2396"/>
      <c r="Y714" s="2396"/>
      <c r="Z714" s="2396"/>
      <c r="AA714" s="2396"/>
      <c r="AB714" s="2396"/>
      <c r="AC714" s="436"/>
      <c r="AD714" s="436"/>
      <c r="AE714" s="514"/>
      <c r="AF714" s="436"/>
      <c r="AG714" s="436"/>
      <c r="AH714" s="436"/>
      <c r="AI714" s="436"/>
      <c r="AJ714" s="436"/>
      <c r="AK714" s="436"/>
      <c r="AL714" s="436"/>
      <c r="AN714" s="495"/>
    </row>
    <row r="715" spans="1:51" s="449" customFormat="1" ht="12" customHeight="1">
      <c r="B715" s="436"/>
      <c r="C715" s="821"/>
      <c r="D715" s="436"/>
      <c r="E715" s="2396"/>
      <c r="F715" s="2396"/>
      <c r="G715" s="2396"/>
      <c r="H715" s="2396"/>
      <c r="I715" s="2396"/>
      <c r="J715" s="2396"/>
      <c r="K715" s="2396"/>
      <c r="L715" s="2396"/>
      <c r="M715" s="2396"/>
      <c r="N715" s="2396"/>
      <c r="O715" s="2396"/>
      <c r="P715" s="2396"/>
      <c r="Q715" s="2396"/>
      <c r="R715" s="2396"/>
      <c r="S715" s="2396"/>
      <c r="T715" s="2396"/>
      <c r="U715" s="2396"/>
      <c r="V715" s="2396"/>
      <c r="W715" s="2396"/>
      <c r="X715" s="2396"/>
      <c r="Y715" s="2396"/>
      <c r="Z715" s="2396"/>
      <c r="AA715" s="2396"/>
      <c r="AB715" s="2396"/>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96"/>
      <c r="F716" s="2396"/>
      <c r="G716" s="2396"/>
      <c r="H716" s="2396"/>
      <c r="I716" s="2396"/>
      <c r="J716" s="2396"/>
      <c r="K716" s="2396"/>
      <c r="L716" s="2396"/>
      <c r="M716" s="2396"/>
      <c r="N716" s="2396"/>
      <c r="O716" s="2396"/>
      <c r="P716" s="2396"/>
      <c r="Q716" s="2396"/>
      <c r="R716" s="2396"/>
      <c r="S716" s="2396"/>
      <c r="T716" s="2396"/>
      <c r="U716" s="2396"/>
      <c r="V716" s="2396"/>
      <c r="W716" s="2396"/>
      <c r="X716" s="2396"/>
      <c r="Y716" s="2396"/>
      <c r="Z716" s="2396"/>
      <c r="AA716" s="2396"/>
      <c r="AB716" s="2396"/>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6" t="s">
        <v>2559</v>
      </c>
      <c r="F718" s="2396"/>
      <c r="G718" s="2396"/>
      <c r="H718" s="2396"/>
      <c r="I718" s="2396"/>
      <c r="J718" s="2396"/>
      <c r="K718" s="2396"/>
      <c r="L718" s="2396"/>
      <c r="M718" s="2396"/>
      <c r="N718" s="2396"/>
      <c r="O718" s="2396"/>
      <c r="P718" s="2396"/>
      <c r="Q718" s="2396"/>
      <c r="R718" s="2396"/>
      <c r="S718" s="2396"/>
      <c r="T718" s="2396"/>
      <c r="U718" s="2396"/>
      <c r="V718" s="2396"/>
      <c r="W718" s="2396"/>
      <c r="X718" s="2396"/>
      <c r="Y718" s="2396"/>
      <c r="Z718" s="2396"/>
      <c r="AA718" s="2396"/>
      <c r="AB718" s="2396"/>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6"/>
      <c r="F719" s="2396"/>
      <c r="G719" s="2396"/>
      <c r="H719" s="2396"/>
      <c r="I719" s="2396"/>
      <c r="J719" s="2396"/>
      <c r="K719" s="2396"/>
      <c r="L719" s="2396"/>
      <c r="M719" s="2396"/>
      <c r="N719" s="2396"/>
      <c r="O719" s="2396"/>
      <c r="P719" s="2396"/>
      <c r="Q719" s="2396"/>
      <c r="R719" s="2396"/>
      <c r="S719" s="2396"/>
      <c r="T719" s="2396"/>
      <c r="U719" s="2396"/>
      <c r="V719" s="2396"/>
      <c r="W719" s="2396"/>
      <c r="X719" s="2396"/>
      <c r="Y719" s="2396"/>
      <c r="Z719" s="2396"/>
      <c r="AA719" s="2396"/>
      <c r="AB719" s="2396"/>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6"/>
      <c r="F720" s="2396"/>
      <c r="G720" s="2396"/>
      <c r="H720" s="2396"/>
      <c r="I720" s="2396"/>
      <c r="J720" s="2396"/>
      <c r="K720" s="2396"/>
      <c r="L720" s="2396"/>
      <c r="M720" s="2396"/>
      <c r="N720" s="2396"/>
      <c r="O720" s="2396"/>
      <c r="P720" s="2396"/>
      <c r="Q720" s="2396"/>
      <c r="R720" s="2396"/>
      <c r="S720" s="2396"/>
      <c r="T720" s="2396"/>
      <c r="U720" s="2396"/>
      <c r="V720" s="2396"/>
      <c r="W720" s="2396"/>
      <c r="X720" s="2396"/>
      <c r="Y720" s="2396"/>
      <c r="Z720" s="2396"/>
      <c r="AA720" s="2396"/>
      <c r="AB720" s="2396"/>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2514</v>
      </c>
      <c r="E722" s="826"/>
      <c r="F722" s="826"/>
      <c r="G722" s="826"/>
      <c r="H722" s="2459" t="s">
        <v>27</v>
      </c>
      <c r="I722" s="2459"/>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2560</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2524</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2561</v>
      </c>
      <c r="AJ724" s="2404">
        <f>VLOOKUP($H$722,$AO$716:$AP$719,2,FALSE)</f>
        <v>3</v>
      </c>
      <c r="AK724" s="2406"/>
      <c r="AL724" s="493"/>
      <c r="AM724" s="449"/>
      <c r="AN724" s="580"/>
      <c r="AP724" s="468" t="s">
        <v>2532</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2562</v>
      </c>
    </row>
    <row r="726" spans="1:43" s="468" customFormat="1" ht="12.75" customHeight="1">
      <c r="A726" s="449"/>
      <c r="B726" s="436"/>
      <c r="C726" s="439" t="s">
        <v>2563</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2564</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2565</v>
      </c>
    </row>
    <row r="728" spans="1:43" s="468" customFormat="1" ht="12.75" customHeight="1">
      <c r="A728" s="535"/>
      <c r="B728" s="436"/>
      <c r="C728" s="821"/>
      <c r="D728" s="559" t="s">
        <v>22</v>
      </c>
      <c r="E728" s="2467" t="s">
        <v>2566</v>
      </c>
      <c r="F728" s="2467"/>
      <c r="G728" s="2467"/>
      <c r="H728" s="2467"/>
      <c r="I728" s="2467"/>
      <c r="J728" s="2467"/>
      <c r="K728" s="2467"/>
      <c r="L728" s="2467"/>
      <c r="M728" s="2467"/>
      <c r="N728" s="2467"/>
      <c r="O728" s="2467"/>
      <c r="P728" s="2467"/>
      <c r="Q728" s="2467"/>
      <c r="R728" s="2467"/>
      <c r="S728" s="2467"/>
      <c r="T728" s="2467"/>
      <c r="U728" s="2467"/>
      <c r="V728" s="2467"/>
      <c r="W728" s="2467"/>
      <c r="X728" s="2467"/>
      <c r="Y728" s="2467"/>
      <c r="Z728" s="2467"/>
      <c r="AA728" s="2467"/>
      <c r="AB728" s="2467"/>
      <c r="AC728" s="436"/>
      <c r="AD728" s="436"/>
      <c r="AE728" s="436"/>
      <c r="AF728" s="2379" t="s">
        <v>2240</v>
      </c>
      <c r="AG728" s="2379"/>
      <c r="AH728" s="2379"/>
      <c r="AI728" s="2379"/>
      <c r="AJ728" s="2379"/>
      <c r="AK728" s="2379"/>
      <c r="AL728" s="2379"/>
      <c r="AM728" s="449"/>
      <c r="AN728" s="580"/>
      <c r="AP728" s="468" t="s">
        <v>2567</v>
      </c>
    </row>
    <row r="729" spans="1:43" s="468" customFormat="1" ht="11.85" customHeight="1">
      <c r="A729" s="449"/>
      <c r="B729" s="436"/>
      <c r="C729" s="823"/>
      <c r="D729" s="559"/>
      <c r="E729" s="2467"/>
      <c r="F729" s="2467"/>
      <c r="G729" s="2467"/>
      <c r="H729" s="2467"/>
      <c r="I729" s="2467"/>
      <c r="J729" s="2467"/>
      <c r="K729" s="2467"/>
      <c r="L729" s="2467"/>
      <c r="M729" s="2467"/>
      <c r="N729" s="2467"/>
      <c r="O729" s="2467"/>
      <c r="P729" s="2467"/>
      <c r="Q729" s="2467"/>
      <c r="R729" s="2467"/>
      <c r="S729" s="2467"/>
      <c r="T729" s="2467"/>
      <c r="U729" s="2467"/>
      <c r="V729" s="2467"/>
      <c r="W729" s="2467"/>
      <c r="X729" s="2467"/>
      <c r="Y729" s="2467"/>
      <c r="Z729" s="2467"/>
      <c r="AA729" s="2467"/>
      <c r="AB729" s="2467"/>
      <c r="AC729" s="436"/>
      <c r="AD729" s="436"/>
      <c r="AE729" s="436"/>
      <c r="AF729" s="436"/>
      <c r="AG729" s="436"/>
      <c r="AH729" s="436"/>
      <c r="AI729" s="436"/>
      <c r="AJ729" s="436"/>
      <c r="AK729" s="436"/>
      <c r="AL729" s="436"/>
      <c r="AM729" s="449"/>
      <c r="AN729" s="580"/>
      <c r="AP729" s="468" t="s">
        <v>2568</v>
      </c>
    </row>
    <row r="730" spans="1:43" s="468" customFormat="1" ht="13.9" customHeight="1">
      <c r="A730" s="449"/>
      <c r="B730" s="508"/>
      <c r="C730" s="821"/>
      <c r="D730" s="559"/>
      <c r="E730" s="2467"/>
      <c r="F730" s="2467"/>
      <c r="G730" s="2467"/>
      <c r="H730" s="2467"/>
      <c r="I730" s="2467"/>
      <c r="J730" s="2467"/>
      <c r="K730" s="2467"/>
      <c r="L730" s="2467"/>
      <c r="M730" s="2467"/>
      <c r="N730" s="2467"/>
      <c r="O730" s="2467"/>
      <c r="P730" s="2467"/>
      <c r="Q730" s="2467"/>
      <c r="R730" s="2467"/>
      <c r="S730" s="2467"/>
      <c r="T730" s="2467"/>
      <c r="U730" s="2467"/>
      <c r="V730" s="2467"/>
      <c r="W730" s="2467"/>
      <c r="X730" s="2467"/>
      <c r="Y730" s="2467"/>
      <c r="Z730" s="2467"/>
      <c r="AA730" s="2467"/>
      <c r="AB730" s="2467"/>
      <c r="AC730" s="436"/>
      <c r="AD730" s="436"/>
      <c r="AE730" s="514"/>
      <c r="AF730" s="436"/>
      <c r="AG730" s="436"/>
      <c r="AH730" s="436"/>
      <c r="AI730" s="436"/>
      <c r="AJ730" s="436"/>
      <c r="AK730" s="436"/>
      <c r="AL730" s="436"/>
      <c r="AM730" s="449"/>
      <c r="AN730" s="580"/>
      <c r="AP730" s="468" t="s">
        <v>2569</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2570</v>
      </c>
    </row>
    <row r="732" spans="1:43" s="468" customFormat="1" ht="13.9" customHeight="1">
      <c r="A732" s="449"/>
      <c r="B732" s="436"/>
      <c r="C732" s="821"/>
      <c r="D732" s="559" t="s">
        <v>27</v>
      </c>
      <c r="E732" s="2468" t="s">
        <v>2571</v>
      </c>
      <c r="F732" s="2468"/>
      <c r="G732" s="2468"/>
      <c r="H732" s="2468"/>
      <c r="I732" s="2468"/>
      <c r="J732" s="2468"/>
      <c r="K732" s="2468"/>
      <c r="L732" s="2468"/>
      <c r="M732" s="2468"/>
      <c r="N732" s="2468"/>
      <c r="O732" s="2468"/>
      <c r="P732" s="2468"/>
      <c r="Q732" s="2468"/>
      <c r="R732" s="2468"/>
      <c r="S732" s="2468"/>
      <c r="T732" s="2468"/>
      <c r="U732" s="2468"/>
      <c r="V732" s="2468"/>
      <c r="W732" s="2468"/>
      <c r="X732" s="2468"/>
      <c r="Y732" s="2468"/>
      <c r="Z732" s="2468"/>
      <c r="AA732" s="2468"/>
      <c r="AB732" s="2468"/>
      <c r="AC732" s="436"/>
      <c r="AD732" s="436"/>
      <c r="AE732" s="436"/>
      <c r="AF732" s="2379" t="s">
        <v>2528</v>
      </c>
      <c r="AG732" s="2379"/>
      <c r="AH732" s="2379"/>
      <c r="AI732" s="2379"/>
      <c r="AJ732" s="2379"/>
      <c r="AK732" s="2379"/>
      <c r="AL732" s="2379"/>
      <c r="AM732" s="449"/>
      <c r="AN732" s="581"/>
    </row>
    <row r="733" spans="1:43" s="468" customFormat="1" ht="12.75" customHeight="1">
      <c r="A733" s="449"/>
      <c r="B733" s="436"/>
      <c r="C733" s="823"/>
      <c r="D733" s="436"/>
      <c r="E733" s="2468"/>
      <c r="F733" s="2468"/>
      <c r="G733" s="2468"/>
      <c r="H733" s="2468"/>
      <c r="I733" s="2468"/>
      <c r="J733" s="2468"/>
      <c r="K733" s="2468"/>
      <c r="L733" s="2468"/>
      <c r="M733" s="2468"/>
      <c r="N733" s="2468"/>
      <c r="O733" s="2468"/>
      <c r="P733" s="2468"/>
      <c r="Q733" s="2468"/>
      <c r="R733" s="2468"/>
      <c r="S733" s="2468"/>
      <c r="T733" s="2468"/>
      <c r="U733" s="2468"/>
      <c r="V733" s="2468"/>
      <c r="W733" s="2468"/>
      <c r="X733" s="2468"/>
      <c r="Y733" s="2468"/>
      <c r="Z733" s="2468"/>
      <c r="AA733" s="2468"/>
      <c r="AB733" s="2468"/>
      <c r="AC733" s="436"/>
      <c r="AD733" s="436"/>
      <c r="AE733" s="436"/>
      <c r="AF733" s="436"/>
      <c r="AG733" s="436"/>
      <c r="AH733" s="436"/>
      <c r="AI733" s="436"/>
      <c r="AJ733" s="436"/>
      <c r="AK733" s="436"/>
      <c r="AL733" s="436"/>
      <c r="AM733" s="449"/>
      <c r="AN733" s="580"/>
      <c r="AP733" s="449" t="s">
        <v>826</v>
      </c>
      <c r="AQ733" s="569">
        <v>0</v>
      </c>
    </row>
    <row r="734" spans="1:43" s="468" customFormat="1" ht="13.9" customHeight="1">
      <c r="A734" s="449"/>
      <c r="B734" s="436"/>
      <c r="C734" s="823"/>
      <c r="D734" s="436"/>
      <c r="E734" s="2468"/>
      <c r="F734" s="2468"/>
      <c r="G734" s="2468"/>
      <c r="H734" s="2468"/>
      <c r="I734" s="2468"/>
      <c r="J734" s="2468"/>
      <c r="K734" s="2468"/>
      <c r="L734" s="2468"/>
      <c r="M734" s="2468"/>
      <c r="N734" s="2468"/>
      <c r="O734" s="2468"/>
      <c r="P734" s="2468"/>
      <c r="Q734" s="2468"/>
      <c r="R734" s="2468"/>
      <c r="S734" s="2468"/>
      <c r="T734" s="2468"/>
      <c r="U734" s="2468"/>
      <c r="V734" s="2468"/>
      <c r="W734" s="2468"/>
      <c r="X734" s="2468"/>
      <c r="Y734" s="2468"/>
      <c r="Z734" s="2468"/>
      <c r="AA734" s="2468"/>
      <c r="AB734" s="2468"/>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2514</v>
      </c>
      <c r="E736" s="826"/>
      <c r="F736" s="826"/>
      <c r="G736" s="826"/>
      <c r="H736" s="2459" t="s">
        <v>826</v>
      </c>
      <c r="I736" s="2459"/>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2572</v>
      </c>
      <c r="AJ738" s="2404">
        <f>VLOOKUP($H$736,$AP$733:$AQ$735,2,FALSE)</f>
        <v>0</v>
      </c>
      <c r="AK738" s="2406"/>
      <c r="AL738" s="493"/>
      <c r="AM738" s="449"/>
      <c r="AN738" s="580"/>
      <c r="AP738" s="2404"/>
      <c r="AQ738" s="2406"/>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2573</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6" t="s">
        <v>2574</v>
      </c>
      <c r="F742" s="2396"/>
      <c r="G742" s="2396"/>
      <c r="H742" s="2396"/>
      <c r="I742" s="2396"/>
      <c r="J742" s="2396"/>
      <c r="K742" s="2396"/>
      <c r="L742" s="2396"/>
      <c r="M742" s="2396"/>
      <c r="N742" s="2396"/>
      <c r="O742" s="2396"/>
      <c r="P742" s="2396"/>
      <c r="Q742" s="2396"/>
      <c r="R742" s="2396"/>
      <c r="S742" s="2396"/>
      <c r="T742" s="2396"/>
      <c r="U742" s="2396"/>
      <c r="V742" s="2396"/>
      <c r="W742" s="2396"/>
      <c r="X742" s="2396"/>
      <c r="Y742" s="2396"/>
      <c r="Z742" s="2396"/>
      <c r="AA742" s="2396"/>
      <c r="AB742" s="2396"/>
      <c r="AC742" s="436"/>
      <c r="AD742" s="436"/>
      <c r="AE742" s="436"/>
      <c r="AF742" s="2379" t="s">
        <v>2240</v>
      </c>
      <c r="AG742" s="2379"/>
      <c r="AH742" s="2379"/>
      <c r="AI742" s="2379"/>
      <c r="AJ742" s="2379"/>
      <c r="AK742" s="2379"/>
      <c r="AL742" s="2379"/>
      <c r="AM742" s="449"/>
      <c r="AN742" s="580"/>
      <c r="AT742" s="13"/>
      <c r="AU742" s="13"/>
      <c r="AV742" s="13"/>
      <c r="AW742" s="13"/>
      <c r="AX742" s="13"/>
      <c r="AY742" s="13"/>
      <c r="AZ742" s="13"/>
    </row>
    <row r="743" spans="1:81" s="468" customFormat="1">
      <c r="A743" s="449"/>
      <c r="B743" s="436"/>
      <c r="C743" s="823"/>
      <c r="D743" s="559"/>
      <c r="E743" s="2396"/>
      <c r="F743" s="2396"/>
      <c r="G743" s="2396"/>
      <c r="H743" s="2396"/>
      <c r="I743" s="2396"/>
      <c r="J743" s="2396"/>
      <c r="K743" s="2396"/>
      <c r="L743" s="2396"/>
      <c r="M743" s="2396"/>
      <c r="N743" s="2396"/>
      <c r="O743" s="2396"/>
      <c r="P743" s="2396"/>
      <c r="Q743" s="2396"/>
      <c r="R743" s="2396"/>
      <c r="S743" s="2396"/>
      <c r="T743" s="2396"/>
      <c r="U743" s="2396"/>
      <c r="V743" s="2396"/>
      <c r="W743" s="2396"/>
      <c r="X743" s="2396"/>
      <c r="Y743" s="2396"/>
      <c r="Z743" s="2396"/>
      <c r="AA743" s="2396"/>
      <c r="AB743" s="2396"/>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6" t="s">
        <v>2575</v>
      </c>
      <c r="F745" s="2396"/>
      <c r="G745" s="2396"/>
      <c r="H745" s="2396"/>
      <c r="I745" s="2396"/>
      <c r="J745" s="2396"/>
      <c r="K745" s="2396"/>
      <c r="L745" s="2396"/>
      <c r="M745" s="2396"/>
      <c r="N745" s="2396"/>
      <c r="O745" s="2396"/>
      <c r="P745" s="2396"/>
      <c r="Q745" s="2396"/>
      <c r="R745" s="2396"/>
      <c r="S745" s="2396"/>
      <c r="T745" s="2396"/>
      <c r="U745" s="2396"/>
      <c r="V745" s="2396"/>
      <c r="W745" s="2396"/>
      <c r="X745" s="2396"/>
      <c r="Y745" s="2396"/>
      <c r="Z745" s="2396"/>
      <c r="AA745" s="2396"/>
      <c r="AB745" s="2396"/>
      <c r="AC745" s="436"/>
      <c r="AD745" s="436"/>
      <c r="AE745" s="436"/>
      <c r="AF745" s="2379" t="s">
        <v>2528</v>
      </c>
      <c r="AG745" s="2379"/>
      <c r="AH745" s="2379"/>
      <c r="AI745" s="2379"/>
      <c r="AJ745" s="2379"/>
      <c r="AK745" s="2379"/>
      <c r="AL745" s="2379"/>
      <c r="AM745" s="449"/>
      <c r="AN745" s="580"/>
      <c r="AT745" s="13"/>
      <c r="AU745" s="13"/>
      <c r="AV745" s="13"/>
      <c r="AW745" s="13"/>
      <c r="AX745" s="13"/>
      <c r="AY745" s="13"/>
      <c r="AZ745" s="13"/>
    </row>
    <row r="746" spans="1:81" s="468" customFormat="1">
      <c r="A746" s="449"/>
      <c r="B746" s="436"/>
      <c r="C746" s="823"/>
      <c r="D746" s="436"/>
      <c r="E746" s="2396"/>
      <c r="F746" s="2396"/>
      <c r="G746" s="2396"/>
      <c r="H746" s="2396"/>
      <c r="I746" s="2396"/>
      <c r="J746" s="2396"/>
      <c r="K746" s="2396"/>
      <c r="L746" s="2396"/>
      <c r="M746" s="2396"/>
      <c r="N746" s="2396"/>
      <c r="O746" s="2396"/>
      <c r="P746" s="2396"/>
      <c r="Q746" s="2396"/>
      <c r="R746" s="2396"/>
      <c r="S746" s="2396"/>
      <c r="T746" s="2396"/>
      <c r="U746" s="2396"/>
      <c r="V746" s="2396"/>
      <c r="W746" s="2396"/>
      <c r="X746" s="2396"/>
      <c r="Y746" s="2396"/>
      <c r="Z746" s="2396"/>
      <c r="AA746" s="2396"/>
      <c r="AB746" s="2396"/>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2514</v>
      </c>
      <c r="E748" s="826"/>
      <c r="F748" s="826"/>
      <c r="G748" s="826"/>
      <c r="H748" s="2459" t="s">
        <v>826</v>
      </c>
      <c r="I748" s="2459"/>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2576</v>
      </c>
      <c r="AJ750" s="2404">
        <f>VLOOKUP($H$748,$AO$679:$AP$681,2,FALSE)</f>
        <v>0</v>
      </c>
      <c r="AK750" s="2406"/>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2577</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6" t="s">
        <v>2578</v>
      </c>
      <c r="F754" s="2396"/>
      <c r="G754" s="2396"/>
      <c r="H754" s="2396"/>
      <c r="I754" s="2396"/>
      <c r="J754" s="2396"/>
      <c r="K754" s="2396"/>
      <c r="L754" s="2396"/>
      <c r="M754" s="2396"/>
      <c r="N754" s="2396"/>
      <c r="O754" s="2396"/>
      <c r="P754" s="2396"/>
      <c r="Q754" s="2396"/>
      <c r="R754" s="2396"/>
      <c r="S754" s="2396"/>
      <c r="T754" s="2396"/>
      <c r="U754" s="2396"/>
      <c r="V754" s="2396"/>
      <c r="W754" s="2396"/>
      <c r="X754" s="2396"/>
      <c r="Y754" s="2396"/>
      <c r="Z754" s="2396"/>
      <c r="AA754" s="2396"/>
      <c r="AB754" s="2396"/>
      <c r="AC754" s="436"/>
      <c r="AD754" s="436"/>
      <c r="AE754" s="436"/>
      <c r="AF754" s="2379" t="s">
        <v>2240</v>
      </c>
      <c r="AG754" s="2379"/>
      <c r="AH754" s="2379"/>
      <c r="AI754" s="2379"/>
      <c r="AJ754" s="2379"/>
      <c r="AK754" s="2379"/>
      <c r="AL754" s="2379"/>
      <c r="AM754" s="449"/>
      <c r="AN754" s="580"/>
      <c r="AT754" s="13"/>
      <c r="AU754" s="13"/>
      <c r="AV754" s="13"/>
      <c r="AW754" s="13"/>
      <c r="AX754" s="13"/>
      <c r="AY754" s="13"/>
      <c r="AZ754" s="13"/>
    </row>
    <row r="755" spans="1:81" s="468" customFormat="1">
      <c r="A755" s="449"/>
      <c r="B755" s="436"/>
      <c r="C755" s="821"/>
      <c r="D755" s="559"/>
      <c r="E755" s="2396"/>
      <c r="F755" s="2396"/>
      <c r="G755" s="2396"/>
      <c r="H755" s="2396"/>
      <c r="I755" s="2396"/>
      <c r="J755" s="2396"/>
      <c r="K755" s="2396"/>
      <c r="L755" s="2396"/>
      <c r="M755" s="2396"/>
      <c r="N755" s="2396"/>
      <c r="O755" s="2396"/>
      <c r="P755" s="2396"/>
      <c r="Q755" s="2396"/>
      <c r="R755" s="2396"/>
      <c r="S755" s="2396"/>
      <c r="T755" s="2396"/>
      <c r="U755" s="2396"/>
      <c r="V755" s="2396"/>
      <c r="W755" s="2396"/>
      <c r="X755" s="2396"/>
      <c r="Y755" s="2396"/>
      <c r="Z755" s="2396"/>
      <c r="AA755" s="2396"/>
      <c r="AB755" s="2396"/>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6"/>
      <c r="F756" s="2396"/>
      <c r="G756" s="2396"/>
      <c r="H756" s="2396"/>
      <c r="I756" s="2396"/>
      <c r="J756" s="2396"/>
      <c r="K756" s="2396"/>
      <c r="L756" s="2396"/>
      <c r="M756" s="2396"/>
      <c r="N756" s="2396"/>
      <c r="O756" s="2396"/>
      <c r="P756" s="2396"/>
      <c r="Q756" s="2396"/>
      <c r="R756" s="2396"/>
      <c r="S756" s="2396"/>
      <c r="T756" s="2396"/>
      <c r="U756" s="2396"/>
      <c r="V756" s="2396"/>
      <c r="W756" s="2396"/>
      <c r="X756" s="2396"/>
      <c r="Y756" s="2396"/>
      <c r="Z756" s="2396"/>
      <c r="AA756" s="2396"/>
      <c r="AB756" s="2396"/>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6"/>
      <c r="F757" s="2396"/>
      <c r="G757" s="2396"/>
      <c r="H757" s="2396"/>
      <c r="I757" s="2396"/>
      <c r="J757" s="2396"/>
      <c r="K757" s="2396"/>
      <c r="L757" s="2396"/>
      <c r="M757" s="2396"/>
      <c r="N757" s="2396"/>
      <c r="O757" s="2396"/>
      <c r="P757" s="2396"/>
      <c r="Q757" s="2396"/>
      <c r="R757" s="2396"/>
      <c r="S757" s="2396"/>
      <c r="T757" s="2396"/>
      <c r="U757" s="2396"/>
      <c r="V757" s="2396"/>
      <c r="W757" s="2396"/>
      <c r="X757" s="2396"/>
      <c r="Y757" s="2396"/>
      <c r="Z757" s="2396"/>
      <c r="AA757" s="2396"/>
      <c r="AB757" s="2396"/>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6" t="s">
        <v>2579</v>
      </c>
      <c r="F759" s="2396"/>
      <c r="G759" s="2396"/>
      <c r="H759" s="2396"/>
      <c r="I759" s="2396"/>
      <c r="J759" s="2396"/>
      <c r="K759" s="2396"/>
      <c r="L759" s="2396"/>
      <c r="M759" s="2396"/>
      <c r="N759" s="2396"/>
      <c r="O759" s="2396"/>
      <c r="P759" s="2396"/>
      <c r="Q759" s="2396"/>
      <c r="R759" s="2396"/>
      <c r="S759" s="2396"/>
      <c r="T759" s="2396"/>
      <c r="U759" s="2396"/>
      <c r="V759" s="2396"/>
      <c r="W759" s="2396"/>
      <c r="X759" s="2396"/>
      <c r="Y759" s="2396"/>
      <c r="Z759" s="2396"/>
      <c r="AA759" s="2396"/>
      <c r="AB759" s="473"/>
      <c r="AC759" s="436"/>
      <c r="AD759" s="436"/>
      <c r="AE759" s="436"/>
      <c r="AF759" s="2379" t="s">
        <v>2528</v>
      </c>
      <c r="AG759" s="2379"/>
      <c r="AH759" s="2379"/>
      <c r="AI759" s="2379"/>
      <c r="AJ759" s="2379"/>
      <c r="AK759" s="2379"/>
      <c r="AL759" s="2379"/>
      <c r="AM759" s="449"/>
      <c r="AN759" s="580"/>
      <c r="AO759" s="25"/>
      <c r="AP759" s="13"/>
    </row>
    <row r="760" spans="1:81" s="468" customFormat="1">
      <c r="A760" s="449"/>
      <c r="B760" s="436"/>
      <c r="C760" s="821"/>
      <c r="D760" s="559"/>
      <c r="E760" s="2396"/>
      <c r="F760" s="2396"/>
      <c r="G760" s="2396"/>
      <c r="H760" s="2396"/>
      <c r="I760" s="2396"/>
      <c r="J760" s="2396"/>
      <c r="K760" s="2396"/>
      <c r="L760" s="2396"/>
      <c r="M760" s="2396"/>
      <c r="N760" s="2396"/>
      <c r="O760" s="2396"/>
      <c r="P760" s="2396"/>
      <c r="Q760" s="2396"/>
      <c r="R760" s="2396"/>
      <c r="S760" s="2396"/>
      <c r="T760" s="2396"/>
      <c r="U760" s="2396"/>
      <c r="V760" s="2396"/>
      <c r="W760" s="2396"/>
      <c r="X760" s="2396"/>
      <c r="Y760" s="2396"/>
      <c r="Z760" s="2396"/>
      <c r="AA760" s="2396"/>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6"/>
      <c r="F761" s="2396"/>
      <c r="G761" s="2396"/>
      <c r="H761" s="2396"/>
      <c r="I761" s="2396"/>
      <c r="J761" s="2396"/>
      <c r="K761" s="2396"/>
      <c r="L761" s="2396"/>
      <c r="M761" s="2396"/>
      <c r="N761" s="2396"/>
      <c r="O761" s="2396"/>
      <c r="P761" s="2396"/>
      <c r="Q761" s="2396"/>
      <c r="R761" s="2396"/>
      <c r="S761" s="2396"/>
      <c r="T761" s="2396"/>
      <c r="U761" s="2396"/>
      <c r="V761" s="2396"/>
      <c r="W761" s="2396"/>
      <c r="X761" s="2396"/>
      <c r="Y761" s="2396"/>
      <c r="Z761" s="2396"/>
      <c r="AA761" s="2396"/>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6"/>
      <c r="F762" s="2396"/>
      <c r="G762" s="2396"/>
      <c r="H762" s="2396"/>
      <c r="I762" s="2396"/>
      <c r="J762" s="2396"/>
      <c r="K762" s="2396"/>
      <c r="L762" s="2396"/>
      <c r="M762" s="2396"/>
      <c r="N762" s="2396"/>
      <c r="O762" s="2396"/>
      <c r="P762" s="2396"/>
      <c r="Q762" s="2396"/>
      <c r="R762" s="2396"/>
      <c r="S762" s="2396"/>
      <c r="T762" s="2396"/>
      <c r="U762" s="2396"/>
      <c r="V762" s="2396"/>
      <c r="W762" s="2396"/>
      <c r="X762" s="2396"/>
      <c r="Y762" s="2396"/>
      <c r="Z762" s="2396"/>
      <c r="AA762" s="2396"/>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2514</v>
      </c>
      <c r="E764" s="826"/>
      <c r="F764" s="826"/>
      <c r="G764" s="826"/>
      <c r="H764" s="2459" t="s">
        <v>22</v>
      </c>
      <c r="I764" s="2459"/>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2580</v>
      </c>
      <c r="AJ766" s="2404">
        <f>VLOOKUP($H$764,$AO$693:$AP$695,2,FALSE)</f>
        <v>3</v>
      </c>
      <c r="AK766" s="2406"/>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2569</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6" t="s">
        <v>2581</v>
      </c>
      <c r="F770" s="2396"/>
      <c r="G770" s="2396"/>
      <c r="H770" s="2396"/>
      <c r="I770" s="2396"/>
      <c r="J770" s="2396"/>
      <c r="K770" s="2396"/>
      <c r="L770" s="2396"/>
      <c r="M770" s="2396"/>
      <c r="N770" s="2396"/>
      <c r="O770" s="2396"/>
      <c r="P770" s="2396"/>
      <c r="Q770" s="2396"/>
      <c r="R770" s="2396"/>
      <c r="S770" s="2396"/>
      <c r="T770" s="2396"/>
      <c r="U770" s="2396"/>
      <c r="V770" s="2396"/>
      <c r="W770" s="2396"/>
      <c r="X770" s="2396"/>
      <c r="Y770" s="2396"/>
      <c r="Z770" s="2396"/>
      <c r="AA770" s="2396"/>
      <c r="AB770" s="2396"/>
      <c r="AC770" s="436"/>
      <c r="AD770" s="436"/>
      <c r="AE770" s="436"/>
      <c r="AF770" s="2379" t="s">
        <v>2528</v>
      </c>
      <c r="AG770" s="2379"/>
      <c r="AH770" s="2379"/>
      <c r="AI770" s="2379"/>
      <c r="AJ770" s="2379"/>
      <c r="AK770" s="2379"/>
      <c r="AL770" s="2379"/>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6"/>
      <c r="F771" s="2396"/>
      <c r="G771" s="2396"/>
      <c r="H771" s="2396"/>
      <c r="I771" s="2396"/>
      <c r="J771" s="2396"/>
      <c r="K771" s="2396"/>
      <c r="L771" s="2396"/>
      <c r="M771" s="2396"/>
      <c r="N771" s="2396"/>
      <c r="O771" s="2396"/>
      <c r="P771" s="2396"/>
      <c r="Q771" s="2396"/>
      <c r="R771" s="2396"/>
      <c r="S771" s="2396"/>
      <c r="T771" s="2396"/>
      <c r="U771" s="2396"/>
      <c r="V771" s="2396"/>
      <c r="W771" s="2396"/>
      <c r="X771" s="2396"/>
      <c r="Y771" s="2396"/>
      <c r="Z771" s="2396"/>
      <c r="AA771" s="2396"/>
      <c r="AB771" s="2396"/>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6" t="s">
        <v>2582</v>
      </c>
      <c r="F773" s="2396"/>
      <c r="G773" s="2396"/>
      <c r="H773" s="2396"/>
      <c r="I773" s="2396"/>
      <c r="J773" s="2396"/>
      <c r="K773" s="2396"/>
      <c r="L773" s="2396"/>
      <c r="M773" s="2396"/>
      <c r="N773" s="2396"/>
      <c r="O773" s="2396"/>
      <c r="P773" s="2396"/>
      <c r="Q773" s="2396"/>
      <c r="R773" s="2396"/>
      <c r="S773" s="2396"/>
      <c r="T773" s="2396"/>
      <c r="U773" s="2396"/>
      <c r="V773" s="2396"/>
      <c r="W773" s="2396"/>
      <c r="X773" s="2396"/>
      <c r="Y773" s="2396"/>
      <c r="Z773" s="2396"/>
      <c r="AA773" s="2396"/>
      <c r="AB773" s="2396"/>
      <c r="AC773" s="436"/>
      <c r="AD773" s="436"/>
      <c r="AE773" s="436"/>
      <c r="AF773" s="2379" t="s">
        <v>2546</v>
      </c>
      <c r="AG773" s="2379"/>
      <c r="AH773" s="2379"/>
      <c r="AI773" s="2379"/>
      <c r="AJ773" s="2379"/>
      <c r="AK773" s="2379"/>
      <c r="AL773" s="2379"/>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6"/>
      <c r="F774" s="2396"/>
      <c r="G774" s="2396"/>
      <c r="H774" s="2396"/>
      <c r="I774" s="2396"/>
      <c r="J774" s="2396"/>
      <c r="K774" s="2396"/>
      <c r="L774" s="2396"/>
      <c r="M774" s="2396"/>
      <c r="N774" s="2396"/>
      <c r="O774" s="2396"/>
      <c r="P774" s="2396"/>
      <c r="Q774" s="2396"/>
      <c r="R774" s="2396"/>
      <c r="S774" s="2396"/>
      <c r="T774" s="2396"/>
      <c r="U774" s="2396"/>
      <c r="V774" s="2396"/>
      <c r="W774" s="2396"/>
      <c r="X774" s="2396"/>
      <c r="Y774" s="2396"/>
      <c r="Z774" s="2396"/>
      <c r="AA774" s="2396"/>
      <c r="AB774" s="2396"/>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2514</v>
      </c>
      <c r="E776" s="826"/>
      <c r="F776" s="826"/>
      <c r="G776" s="826"/>
      <c r="H776" s="2459" t="s">
        <v>22</v>
      </c>
      <c r="I776" s="2459"/>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2583</v>
      </c>
      <c r="AJ778" s="2404">
        <f>VLOOKUP($H$776,$AO$710:$AP$712,2,FALSE)</f>
        <v>2</v>
      </c>
      <c r="AK778" s="2406"/>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2570</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96" t="s">
        <v>2584</v>
      </c>
      <c r="F782" s="2396"/>
      <c r="G782" s="2396"/>
      <c r="H782" s="2396"/>
      <c r="I782" s="2396"/>
      <c r="J782" s="2396"/>
      <c r="K782" s="2396"/>
      <c r="L782" s="2396"/>
      <c r="M782" s="2396"/>
      <c r="N782" s="2396"/>
      <c r="O782" s="2396"/>
      <c r="P782" s="2396"/>
      <c r="Q782" s="2396"/>
      <c r="R782" s="2396"/>
      <c r="S782" s="2396"/>
      <c r="T782" s="2396"/>
      <c r="U782" s="2396"/>
      <c r="V782" s="2396"/>
      <c r="W782" s="2396"/>
      <c r="X782" s="2396"/>
      <c r="Y782" s="2396"/>
      <c r="Z782" s="2396"/>
      <c r="AA782" s="2396"/>
      <c r="AB782" s="2396"/>
      <c r="AC782" s="2396"/>
      <c r="AD782" s="2396"/>
      <c r="AE782" s="436"/>
      <c r="AF782" s="2379" t="s">
        <v>2528</v>
      </c>
      <c r="AG782" s="2379"/>
      <c r="AH782" s="2379"/>
      <c r="AI782" s="2379"/>
      <c r="AJ782" s="2379"/>
      <c r="AK782" s="2379"/>
      <c r="AL782" s="2379"/>
      <c r="AM782" s="511"/>
      <c r="AN782" s="580"/>
      <c r="AO782" s="449" t="s">
        <v>826</v>
      </c>
      <c r="AP782" s="569">
        <v>0</v>
      </c>
    </row>
    <row r="783" spans="1:74" s="468" customFormat="1" ht="13.7" customHeight="1">
      <c r="A783" s="449"/>
      <c r="B783" s="514"/>
      <c r="C783" s="830"/>
      <c r="D783" s="559"/>
      <c r="E783" s="2396"/>
      <c r="F783" s="2396"/>
      <c r="G783" s="2396"/>
      <c r="H783" s="2396"/>
      <c r="I783" s="2396"/>
      <c r="J783" s="2396"/>
      <c r="K783" s="2396"/>
      <c r="L783" s="2396"/>
      <c r="M783" s="2396"/>
      <c r="N783" s="2396"/>
      <c r="O783" s="2396"/>
      <c r="P783" s="2396"/>
      <c r="Q783" s="2396"/>
      <c r="R783" s="2396"/>
      <c r="S783" s="2396"/>
      <c r="T783" s="2396"/>
      <c r="U783" s="2396"/>
      <c r="V783" s="2396"/>
      <c r="W783" s="2396"/>
      <c r="X783" s="2396"/>
      <c r="Y783" s="2396"/>
      <c r="Z783" s="2396"/>
      <c r="AA783" s="2396"/>
      <c r="AB783" s="2396"/>
      <c r="AC783" s="2396"/>
      <c r="AD783" s="2396"/>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6"/>
      <c r="F784" s="2396"/>
      <c r="G784" s="2396"/>
      <c r="H784" s="2396"/>
      <c r="I784" s="2396"/>
      <c r="J784" s="2396"/>
      <c r="K784" s="2396"/>
      <c r="L784" s="2396"/>
      <c r="M784" s="2396"/>
      <c r="N784" s="2396"/>
      <c r="O784" s="2396"/>
      <c r="P784" s="2396"/>
      <c r="Q784" s="2396"/>
      <c r="R784" s="2396"/>
      <c r="S784" s="2396"/>
      <c r="T784" s="2396"/>
      <c r="U784" s="2396"/>
      <c r="V784" s="2396"/>
      <c r="W784" s="2396"/>
      <c r="X784" s="2396"/>
      <c r="Y784" s="2396"/>
      <c r="Z784" s="2396"/>
      <c r="AA784" s="2396"/>
      <c r="AB784" s="2396"/>
      <c r="AC784" s="2396"/>
      <c r="AD784" s="2396"/>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6"/>
      <c r="F785" s="2396"/>
      <c r="G785" s="2396"/>
      <c r="H785" s="2396"/>
      <c r="I785" s="2396"/>
      <c r="J785" s="2396"/>
      <c r="K785" s="2396"/>
      <c r="L785" s="2396"/>
      <c r="M785" s="2396"/>
      <c r="N785" s="2396"/>
      <c r="O785" s="2396"/>
      <c r="P785" s="2396"/>
      <c r="Q785" s="2396"/>
      <c r="R785" s="2396"/>
      <c r="S785" s="2396"/>
      <c r="T785" s="2396"/>
      <c r="U785" s="2396"/>
      <c r="V785" s="2396"/>
      <c r="W785" s="2396"/>
      <c r="X785" s="2396"/>
      <c r="Y785" s="2396"/>
      <c r="Z785" s="2396"/>
      <c r="AA785" s="2396"/>
      <c r="AB785" s="2396"/>
      <c r="AC785" s="2396"/>
      <c r="AD785" s="2396"/>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9" t="s">
        <v>2585</v>
      </c>
      <c r="F787" s="2469"/>
      <c r="G787" s="2469"/>
      <c r="H787" s="2469"/>
      <c r="I787" s="2469"/>
      <c r="J787" s="2469"/>
      <c r="K787" s="2469"/>
      <c r="L787" s="2469"/>
      <c r="M787" s="2469"/>
      <c r="N787" s="2469"/>
      <c r="O787" s="2469"/>
      <c r="P787" s="2469"/>
      <c r="Q787" s="2469"/>
      <c r="R787" s="2469"/>
      <c r="S787" s="2469"/>
      <c r="T787" s="2469"/>
      <c r="U787" s="2469"/>
      <c r="V787" s="2469"/>
      <c r="W787" s="2469"/>
      <c r="X787" s="2469"/>
      <c r="Y787" s="2469"/>
      <c r="Z787" s="2469"/>
      <c r="AA787" s="2469"/>
      <c r="AB787" s="2469"/>
      <c r="AC787" s="2469"/>
      <c r="AD787" s="2469"/>
      <c r="AE787" s="436"/>
      <c r="AF787" s="2379" t="s">
        <v>2240</v>
      </c>
      <c r="AG787" s="2379"/>
      <c r="AH787" s="2379"/>
      <c r="AI787" s="2379"/>
      <c r="AJ787" s="2379"/>
      <c r="AK787" s="2379"/>
      <c r="AL787" s="2379"/>
      <c r="AM787" s="511"/>
      <c r="AN787" s="495"/>
    </row>
    <row r="788" spans="1:81" s="449" customFormat="1" ht="12.75" customHeight="1">
      <c r="B788" s="514"/>
      <c r="C788" s="830"/>
      <c r="D788" s="559"/>
      <c r="E788" s="2469"/>
      <c r="F788" s="2469"/>
      <c r="G788" s="2469"/>
      <c r="H788" s="2469"/>
      <c r="I788" s="2469"/>
      <c r="J788" s="2469"/>
      <c r="K788" s="2469"/>
      <c r="L788" s="2469"/>
      <c r="M788" s="2469"/>
      <c r="N788" s="2469"/>
      <c r="O788" s="2469"/>
      <c r="P788" s="2469"/>
      <c r="Q788" s="2469"/>
      <c r="R788" s="2469"/>
      <c r="S788" s="2469"/>
      <c r="T788" s="2469"/>
      <c r="U788" s="2469"/>
      <c r="V788" s="2469"/>
      <c r="W788" s="2469"/>
      <c r="X788" s="2469"/>
      <c r="Y788" s="2469"/>
      <c r="Z788" s="2469"/>
      <c r="AA788" s="2469"/>
      <c r="AB788" s="2469"/>
      <c r="AC788" s="2469"/>
      <c r="AD788" s="2469"/>
      <c r="AE788" s="492"/>
      <c r="AF788" s="492"/>
      <c r="AG788" s="492"/>
      <c r="AH788" s="492"/>
      <c r="AI788" s="492"/>
      <c r="AJ788" s="492"/>
      <c r="AK788" s="492"/>
      <c r="AL788" s="492"/>
      <c r="AM788" s="511"/>
      <c r="AN788" s="495"/>
    </row>
    <row r="789" spans="1:81" s="449" customFormat="1" ht="12.75" customHeight="1">
      <c r="B789" s="514"/>
      <c r="C789" s="830"/>
      <c r="D789" s="559"/>
      <c r="E789" s="2469"/>
      <c r="F789" s="2469"/>
      <c r="G789" s="2469"/>
      <c r="H789" s="2469"/>
      <c r="I789" s="2469"/>
      <c r="J789" s="2469"/>
      <c r="K789" s="2469"/>
      <c r="L789" s="2469"/>
      <c r="M789" s="2469"/>
      <c r="N789" s="2469"/>
      <c r="O789" s="2469"/>
      <c r="P789" s="2469"/>
      <c r="Q789" s="2469"/>
      <c r="R789" s="2469"/>
      <c r="S789" s="2469"/>
      <c r="T789" s="2469"/>
      <c r="U789" s="2469"/>
      <c r="V789" s="2469"/>
      <c r="W789" s="2469"/>
      <c r="X789" s="2469"/>
      <c r="Y789" s="2469"/>
      <c r="Z789" s="2469"/>
      <c r="AA789" s="2469"/>
      <c r="AB789" s="2469"/>
      <c r="AC789" s="2469"/>
      <c r="AD789" s="2469"/>
      <c r="AE789" s="492"/>
      <c r="AF789" s="492"/>
      <c r="AG789" s="492"/>
      <c r="AH789" s="492"/>
      <c r="AI789" s="492"/>
      <c r="AJ789" s="492"/>
      <c r="AK789" s="492"/>
      <c r="AL789" s="492"/>
      <c r="AM789" s="511"/>
      <c r="AN789" s="495"/>
    </row>
    <row r="790" spans="1:81" s="449" customFormat="1" ht="12.75" customHeight="1">
      <c r="B790" s="514"/>
      <c r="C790" s="830"/>
      <c r="D790" s="559"/>
      <c r="E790" s="2469"/>
      <c r="F790" s="2469"/>
      <c r="G790" s="2469"/>
      <c r="H790" s="2469"/>
      <c r="I790" s="2469"/>
      <c r="J790" s="2469"/>
      <c r="K790" s="2469"/>
      <c r="L790" s="2469"/>
      <c r="M790" s="2469"/>
      <c r="N790" s="2469"/>
      <c r="O790" s="2469"/>
      <c r="P790" s="2469"/>
      <c r="Q790" s="2469"/>
      <c r="R790" s="2469"/>
      <c r="S790" s="2469"/>
      <c r="T790" s="2469"/>
      <c r="U790" s="2469"/>
      <c r="V790" s="2469"/>
      <c r="W790" s="2469"/>
      <c r="X790" s="2469"/>
      <c r="Y790" s="2469"/>
      <c r="Z790" s="2469"/>
      <c r="AA790" s="2469"/>
      <c r="AB790" s="2469"/>
      <c r="AC790" s="2469"/>
      <c r="AD790" s="2469"/>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2514</v>
      </c>
      <c r="E792" s="826"/>
      <c r="F792" s="826"/>
      <c r="G792" s="826"/>
      <c r="H792" s="2459" t="s">
        <v>826</v>
      </c>
      <c r="I792" s="2459"/>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2586</v>
      </c>
      <c r="AJ794" s="2404">
        <f>VLOOKUP($H$792,$AO$782:$AP$784,2,FALSE)</f>
        <v>0</v>
      </c>
      <c r="AK794" s="2406"/>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2587</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96" t="s">
        <v>2588</v>
      </c>
      <c r="F798" s="2396"/>
      <c r="G798" s="2396"/>
      <c r="H798" s="2396"/>
      <c r="I798" s="2396"/>
      <c r="J798" s="2396"/>
      <c r="K798" s="2396"/>
      <c r="L798" s="2396"/>
      <c r="M798" s="2396"/>
      <c r="N798" s="2396"/>
      <c r="O798" s="2396"/>
      <c r="P798" s="2396"/>
      <c r="Q798" s="2396"/>
      <c r="R798" s="2396"/>
      <c r="S798" s="2396"/>
      <c r="T798" s="2396"/>
      <c r="U798" s="2396"/>
      <c r="V798" s="2396"/>
      <c r="W798" s="2396"/>
      <c r="X798" s="2396"/>
      <c r="Y798" s="2396"/>
      <c r="Z798" s="2396"/>
      <c r="AA798" s="2396"/>
      <c r="AB798" s="2396"/>
      <c r="AC798" s="2396"/>
      <c r="AD798" s="2396"/>
      <c r="AE798" s="436"/>
      <c r="AF798" s="2379" t="s">
        <v>2240</v>
      </c>
      <c r="AG798" s="2379"/>
      <c r="AH798" s="2379"/>
      <c r="AI798" s="2379"/>
      <c r="AJ798" s="2379"/>
      <c r="AK798" s="2379"/>
      <c r="AL798" s="2379"/>
      <c r="AM798" s="511"/>
      <c r="AN798" s="580"/>
      <c r="AO798" s="509" t="s">
        <v>862</v>
      </c>
      <c r="AP798" s="449">
        <v>3</v>
      </c>
      <c r="AT798" s="570"/>
      <c r="AU798" s="570"/>
      <c r="AV798" s="570"/>
      <c r="AW798" s="570"/>
      <c r="AX798" s="570"/>
      <c r="AY798" s="570"/>
      <c r="AZ798" s="570"/>
    </row>
    <row r="799" spans="1:81" s="468" customFormat="1" ht="13.7" customHeight="1">
      <c r="A799" s="449"/>
      <c r="B799" s="514"/>
      <c r="C799" s="830"/>
      <c r="D799" s="559"/>
      <c r="E799" s="2396"/>
      <c r="F799" s="2396"/>
      <c r="G799" s="2396"/>
      <c r="H799" s="2396"/>
      <c r="I799" s="2396"/>
      <c r="J799" s="2396"/>
      <c r="K799" s="2396"/>
      <c r="L799" s="2396"/>
      <c r="M799" s="2396"/>
      <c r="N799" s="2396"/>
      <c r="O799" s="2396"/>
      <c r="P799" s="2396"/>
      <c r="Q799" s="2396"/>
      <c r="R799" s="2396"/>
      <c r="S799" s="2396"/>
      <c r="T799" s="2396"/>
      <c r="U799" s="2396"/>
      <c r="V799" s="2396"/>
      <c r="W799" s="2396"/>
      <c r="X799" s="2396"/>
      <c r="Y799" s="2396"/>
      <c r="Z799" s="2396"/>
      <c r="AA799" s="2396"/>
      <c r="AB799" s="2396"/>
      <c r="AC799" s="2396"/>
      <c r="AD799" s="2396"/>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6"/>
      <c r="F800" s="2396"/>
      <c r="G800" s="2396"/>
      <c r="H800" s="2396"/>
      <c r="I800" s="2396"/>
      <c r="J800" s="2396"/>
      <c r="K800" s="2396"/>
      <c r="L800" s="2396"/>
      <c r="M800" s="2396"/>
      <c r="N800" s="2396"/>
      <c r="O800" s="2396"/>
      <c r="P800" s="2396"/>
      <c r="Q800" s="2396"/>
      <c r="R800" s="2396"/>
      <c r="S800" s="2396"/>
      <c r="T800" s="2396"/>
      <c r="U800" s="2396"/>
      <c r="V800" s="2396"/>
      <c r="W800" s="2396"/>
      <c r="X800" s="2396"/>
      <c r="Y800" s="2396"/>
      <c r="Z800" s="2396"/>
      <c r="AA800" s="2396"/>
      <c r="AB800" s="2396"/>
      <c r="AC800" s="2396"/>
      <c r="AD800" s="2396"/>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6"/>
      <c r="F801" s="2396"/>
      <c r="G801" s="2396"/>
      <c r="H801" s="2396"/>
      <c r="I801" s="2396"/>
      <c r="J801" s="2396"/>
      <c r="K801" s="2396"/>
      <c r="L801" s="2396"/>
      <c r="M801" s="2396"/>
      <c r="N801" s="2396"/>
      <c r="O801" s="2396"/>
      <c r="P801" s="2396"/>
      <c r="Q801" s="2396"/>
      <c r="R801" s="2396"/>
      <c r="S801" s="2396"/>
      <c r="T801" s="2396"/>
      <c r="U801" s="2396"/>
      <c r="V801" s="2396"/>
      <c r="W801" s="2396"/>
      <c r="X801" s="2396"/>
      <c r="Y801" s="2396"/>
      <c r="Z801" s="2396"/>
      <c r="AA801" s="2396"/>
      <c r="AB801" s="2396"/>
      <c r="AC801" s="2396"/>
      <c r="AD801" s="2396"/>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2514</v>
      </c>
      <c r="E803" s="826"/>
      <c r="F803" s="826"/>
      <c r="G803" s="826"/>
      <c r="H803" s="2459" t="s">
        <v>826</v>
      </c>
      <c r="I803" s="2459"/>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2589</v>
      </c>
      <c r="AJ805" s="2404">
        <f>VLOOKUP($H$803,$AO$797:$AP$798,2,FALSE)</f>
        <v>0</v>
      </c>
      <c r="AK805" s="2406"/>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2590</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6" t="s">
        <v>2591</v>
      </c>
      <c r="F809" s="2396"/>
      <c r="G809" s="2396"/>
      <c r="H809" s="2396"/>
      <c r="I809" s="2396"/>
      <c r="J809" s="2396"/>
      <c r="K809" s="2396"/>
      <c r="L809" s="2396"/>
      <c r="M809" s="2396"/>
      <c r="N809" s="2396"/>
      <c r="O809" s="2396"/>
      <c r="P809" s="2396"/>
      <c r="Q809" s="2396"/>
      <c r="R809" s="2396"/>
      <c r="S809" s="2396"/>
      <c r="T809" s="2396"/>
      <c r="U809" s="2396"/>
      <c r="V809" s="2396"/>
      <c r="W809" s="2396"/>
      <c r="X809" s="2396"/>
      <c r="Y809" s="2396"/>
      <c r="Z809" s="2396"/>
      <c r="AA809" s="2396"/>
      <c r="AB809" s="2396"/>
      <c r="AC809" s="2396"/>
      <c r="AD809" s="2396"/>
      <c r="AE809" s="450"/>
      <c r="AF809" s="2379" t="s">
        <v>2500</v>
      </c>
      <c r="AG809" s="2379"/>
      <c r="AH809" s="2379"/>
      <c r="AI809" s="2379"/>
      <c r="AJ809" s="2379"/>
      <c r="AK809" s="2379"/>
      <c r="AL809" s="2379"/>
      <c r="AN809" s="495"/>
    </row>
    <row r="810" spans="1:81" s="449" customFormat="1" ht="12.75" customHeight="1">
      <c r="B810" s="514"/>
      <c r="C810" s="584"/>
      <c r="D810" s="559"/>
      <c r="E810" s="2396"/>
      <c r="F810" s="2396"/>
      <c r="G810" s="2396"/>
      <c r="H810" s="2396"/>
      <c r="I810" s="2396"/>
      <c r="J810" s="2396"/>
      <c r="K810" s="2396"/>
      <c r="L810" s="2396"/>
      <c r="M810" s="2396"/>
      <c r="N810" s="2396"/>
      <c r="O810" s="2396"/>
      <c r="P810" s="2396"/>
      <c r="Q810" s="2396"/>
      <c r="R810" s="2396"/>
      <c r="S810" s="2396"/>
      <c r="T810" s="2396"/>
      <c r="U810" s="2396"/>
      <c r="V810" s="2396"/>
      <c r="W810" s="2396"/>
      <c r="X810" s="2396"/>
      <c r="Y810" s="2396"/>
      <c r="Z810" s="2396"/>
      <c r="AA810" s="2396"/>
      <c r="AB810" s="2396"/>
      <c r="AC810" s="2396"/>
      <c r="AD810" s="2396"/>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2514</v>
      </c>
      <c r="E812" s="826"/>
      <c r="F812" s="826"/>
      <c r="G812" s="826"/>
      <c r="H812" s="2459" t="s">
        <v>826</v>
      </c>
      <c r="I812" s="2459"/>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2592</v>
      </c>
      <c r="AJ814" s="2404">
        <f>IF(H812="Yes",5,0)</f>
        <v>0</v>
      </c>
      <c r="AK814" s="2406"/>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2593</v>
      </c>
      <c r="AK816" s="2404">
        <f>IF(($AJ$634+$AJ$653+$AJ$665+$AJ$700+$AJ$724+$AJ$738+$AJ$750+$AJ$766+$AJ$778+$AJ$794+AJ805+AJ814)&gt;10,10,($AJ$634+$AJ$653+$AJ$665+$AJ$700+$AJ$724+$AJ$738+$AJ$750+$AJ$766+$AJ$778+$AJ$794+AJ805+AJ814))</f>
        <v>10</v>
      </c>
      <c r="AL816" s="2405"/>
      <c r="AM816" s="2406"/>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1" t="s">
        <v>2594</v>
      </c>
      <c r="B819" s="2492"/>
      <c r="C819" s="2492"/>
      <c r="D819" s="2492"/>
      <c r="E819" s="2492"/>
      <c r="F819" s="2492"/>
      <c r="G819" s="2492"/>
      <c r="H819" s="2492"/>
      <c r="I819" s="2492"/>
      <c r="J819" s="2492"/>
      <c r="K819" s="2492"/>
      <c r="L819" s="2492"/>
      <c r="M819" s="2492"/>
      <c r="N819" s="2492"/>
      <c r="O819" s="2492"/>
      <c r="P819" s="2492"/>
      <c r="Q819" s="2492"/>
      <c r="R819" s="2492"/>
      <c r="S819" s="2492"/>
      <c r="T819" s="2492"/>
      <c r="U819" s="2492"/>
      <c r="V819" s="2492"/>
      <c r="W819" s="2492"/>
      <c r="X819" s="2492"/>
      <c r="Y819" s="2492"/>
      <c r="Z819" s="2492"/>
      <c r="AA819" s="2492"/>
      <c r="AB819" s="2492"/>
      <c r="AC819" s="2492"/>
      <c r="AD819" s="2492"/>
      <c r="AE819" s="2492"/>
      <c r="AF819" s="2492"/>
      <c r="AG819" s="2492"/>
      <c r="AH819" s="2492"/>
      <c r="AI819" s="2492"/>
      <c r="AJ819" s="2492"/>
      <c r="AK819" s="2492"/>
      <c r="AL819" s="2492"/>
      <c r="AM819" s="2492"/>
    </row>
    <row r="820" spans="1:43">
      <c r="A820" s="2493"/>
      <c r="B820" s="2493"/>
      <c r="C820" s="2493"/>
      <c r="D820" s="2493"/>
      <c r="E820" s="2493"/>
      <c r="F820" s="2493"/>
      <c r="G820" s="2493"/>
      <c r="H820" s="2493"/>
      <c r="I820" s="2493"/>
      <c r="J820" s="2493"/>
      <c r="K820" s="2493"/>
      <c r="L820" s="2493"/>
      <c r="M820" s="2493"/>
      <c r="N820" s="2493"/>
      <c r="O820" s="2493"/>
      <c r="P820" s="2493"/>
      <c r="Q820" s="2493"/>
      <c r="R820" s="2493"/>
      <c r="S820" s="2493"/>
      <c r="T820" s="2493"/>
      <c r="U820" s="2493"/>
      <c r="V820" s="2493"/>
      <c r="W820" s="2493"/>
      <c r="X820" s="2493"/>
      <c r="Y820" s="2493"/>
      <c r="Z820" s="2493"/>
      <c r="AA820" s="2493"/>
      <c r="AB820" s="2493"/>
      <c r="AC820" s="2493"/>
      <c r="AD820" s="2493"/>
      <c r="AE820" s="2493"/>
      <c r="AF820" s="2493"/>
      <c r="AG820" s="2493"/>
      <c r="AH820" s="2493"/>
      <c r="AI820" s="2493"/>
      <c r="AJ820" s="2493"/>
      <c r="AK820" s="2493"/>
      <c r="AL820" s="2493"/>
      <c r="AM820" s="2493"/>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2"/>
      <c r="B822" s="2442"/>
      <c r="C822" s="2442"/>
      <c r="D822" s="2442"/>
      <c r="E822" s="2442"/>
      <c r="F822" s="2442"/>
      <c r="G822" s="2442"/>
      <c r="H822" s="2442"/>
      <c r="I822" s="2442"/>
      <c r="J822" s="2442"/>
      <c r="K822" s="2442"/>
      <c r="L822" s="2442"/>
      <c r="M822" s="2442"/>
      <c r="N822" s="2442"/>
      <c r="O822" s="2442"/>
      <c r="P822" s="2442"/>
      <c r="Q822" s="2442"/>
      <c r="R822" s="2442"/>
      <c r="S822" s="2442"/>
      <c r="T822" s="2442"/>
      <c r="U822" s="2442"/>
      <c r="V822" s="2442"/>
      <c r="W822" s="2442"/>
      <c r="X822" s="2442"/>
      <c r="Y822" s="2442"/>
      <c r="Z822" s="2442"/>
      <c r="AA822" s="2442"/>
      <c r="AB822" s="2442"/>
      <c r="AC822" s="2442"/>
      <c r="AD822" s="2442"/>
      <c r="AE822" s="2442"/>
      <c r="AF822" s="2442"/>
      <c r="AG822" s="2442"/>
      <c r="AH822" s="2442"/>
      <c r="AI822" s="2442"/>
      <c r="AJ822" s="2442"/>
      <c r="AK822" s="2442"/>
      <c r="AL822" s="2442"/>
      <c r="AM822" s="2442"/>
      <c r="AP822" s="712"/>
      <c r="AQ822" s="712"/>
    </row>
    <row r="823" spans="1:43">
      <c r="A823" s="2442"/>
      <c r="B823" s="2442"/>
      <c r="C823" s="2442"/>
      <c r="D823" s="2442"/>
      <c r="E823" s="2442"/>
      <c r="F823" s="2442"/>
      <c r="G823" s="2442"/>
      <c r="H823" s="2442"/>
      <c r="I823" s="2442"/>
      <c r="J823" s="2442"/>
      <c r="K823" s="2442"/>
      <c r="L823" s="2442"/>
      <c r="M823" s="2442"/>
      <c r="N823" s="2442"/>
      <c r="O823" s="2442"/>
      <c r="P823" s="2442"/>
      <c r="Q823" s="2442"/>
      <c r="R823" s="2442"/>
      <c r="S823" s="2442"/>
      <c r="T823" s="2442"/>
      <c r="U823" s="2442"/>
      <c r="V823" s="2442"/>
      <c r="W823" s="2442"/>
      <c r="X823" s="2442"/>
      <c r="Y823" s="2442"/>
      <c r="Z823" s="2442"/>
      <c r="AA823" s="2442"/>
      <c r="AB823" s="2442"/>
      <c r="AC823" s="2442"/>
      <c r="AD823" s="2442"/>
      <c r="AE823" s="2442"/>
      <c r="AF823" s="2442"/>
      <c r="AG823" s="2442"/>
      <c r="AH823" s="2442"/>
      <c r="AI823" s="2442"/>
      <c r="AJ823" s="2442"/>
      <c r="AK823" s="2442"/>
      <c r="AL823" s="2442"/>
      <c r="AM823" s="2442"/>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4" t="s">
        <v>2595</v>
      </c>
      <c r="U824" s="2495"/>
      <c r="V824" s="2495"/>
      <c r="W824" s="2495"/>
      <c r="X824" s="2495"/>
      <c r="Y824" s="2496"/>
      <c r="Z824" s="2494" t="s">
        <v>2596</v>
      </c>
      <c r="AA824" s="2495"/>
      <c r="AB824" s="2495"/>
      <c r="AC824" s="2495"/>
      <c r="AD824" s="2495"/>
      <c r="AE824" s="2496"/>
      <c r="AF824" s="2494" t="s">
        <v>2597</v>
      </c>
      <c r="AG824" s="2495"/>
      <c r="AH824" s="2495"/>
      <c r="AI824" s="2495"/>
      <c r="AJ824" s="2495"/>
      <c r="AK824" s="2496"/>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7"/>
      <c r="U825" s="2498"/>
      <c r="V825" s="2498"/>
      <c r="W825" s="2498"/>
      <c r="X825" s="2498"/>
      <c r="Y825" s="2499"/>
      <c r="Z825" s="2497"/>
      <c r="AA825" s="2498"/>
      <c r="AB825" s="2498"/>
      <c r="AC825" s="2498"/>
      <c r="AD825" s="2498"/>
      <c r="AE825" s="2499"/>
      <c r="AF825" s="2497"/>
      <c r="AG825" s="2498"/>
      <c r="AH825" s="2498"/>
      <c r="AI825" s="2498"/>
      <c r="AJ825" s="2498"/>
      <c r="AK825" s="2499"/>
      <c r="AL825" s="714"/>
      <c r="AM825" s="494"/>
      <c r="AO825" s="712"/>
      <c r="AP825" s="712"/>
      <c r="AQ825" s="712"/>
    </row>
    <row r="826" spans="1:43">
      <c r="A826" s="715" t="s">
        <v>53</v>
      </c>
      <c r="B826" s="2474" t="str">
        <f>B7</f>
        <v xml:space="preserve">Acquisition/Rehabilitation Project Priorities </v>
      </c>
      <c r="C826" s="2474"/>
      <c r="D826" s="2474"/>
      <c r="E826" s="2474"/>
      <c r="F826" s="2474"/>
      <c r="G826" s="2474"/>
      <c r="H826" s="2474"/>
      <c r="I826" s="2474"/>
      <c r="J826" s="2474"/>
      <c r="K826" s="2474"/>
      <c r="L826" s="2474"/>
      <c r="M826" s="2474"/>
      <c r="N826" s="2474"/>
      <c r="O826" s="2474"/>
      <c r="P826" s="2474"/>
      <c r="Q826" s="2474"/>
      <c r="R826" s="2474"/>
      <c r="S826" s="2475"/>
      <c r="T826" s="2476">
        <f>AK61</f>
        <v>0</v>
      </c>
      <c r="U826" s="2477"/>
      <c r="V826" s="2477"/>
      <c r="W826" s="2477"/>
      <c r="X826" s="2477"/>
      <c r="Y826" s="2478"/>
      <c r="Z826" s="2479">
        <v>20</v>
      </c>
      <c r="AA826" s="2477"/>
      <c r="AB826" s="2477"/>
      <c r="AC826" s="2477"/>
      <c r="AD826" s="2477"/>
      <c r="AE826" s="2478"/>
      <c r="AF826" s="2472">
        <f>IF(T826&gt;Z826,Z826,T826)</f>
        <v>0</v>
      </c>
      <c r="AG826" s="2472"/>
      <c r="AH826" s="2472"/>
      <c r="AI826" s="2472"/>
      <c r="AJ826" s="2472"/>
      <c r="AK826" s="2472"/>
      <c r="AL826" s="714"/>
      <c r="AM826" s="494"/>
      <c r="AO826" s="712"/>
      <c r="AP826" s="712"/>
      <c r="AQ826" s="712"/>
    </row>
    <row r="827" spans="1:43">
      <c r="A827" s="715" t="s">
        <v>2445</v>
      </c>
      <c r="B827" s="2474" t="s">
        <v>624</v>
      </c>
      <c r="C827" s="2474"/>
      <c r="D827" s="2474"/>
      <c r="E827" s="2474"/>
      <c r="F827" s="2474"/>
      <c r="G827" s="2474"/>
      <c r="H827" s="2474"/>
      <c r="I827" s="2474"/>
      <c r="J827" s="2474"/>
      <c r="K827" s="2474"/>
      <c r="L827" s="2474"/>
      <c r="M827" s="2474"/>
      <c r="N827" s="2474"/>
      <c r="O827" s="2474"/>
      <c r="P827" s="2474"/>
      <c r="Q827" s="2474"/>
      <c r="R827" s="2474"/>
      <c r="S827" s="2475"/>
      <c r="T827" s="2476">
        <f>AK83</f>
        <v>10</v>
      </c>
      <c r="U827" s="2477"/>
      <c r="V827" s="2477"/>
      <c r="W827" s="2477"/>
      <c r="X827" s="2477"/>
      <c r="Y827" s="2478"/>
      <c r="Z827" s="2479">
        <v>10</v>
      </c>
      <c r="AA827" s="2477"/>
      <c r="AB827" s="2477"/>
      <c r="AC827" s="2477"/>
      <c r="AD827" s="2477"/>
      <c r="AE827" s="2478"/>
      <c r="AF827" s="2472">
        <f>IF(T827&gt;Z827,Z827,T827)</f>
        <v>10</v>
      </c>
      <c r="AG827" s="2472"/>
      <c r="AH827" s="2472"/>
      <c r="AI827" s="2472"/>
      <c r="AJ827" s="2472"/>
      <c r="AK827" s="2472"/>
      <c r="AL827" s="714"/>
      <c r="AM827" s="494"/>
      <c r="AO827" s="712"/>
      <c r="AP827" s="712"/>
      <c r="AQ827" s="712"/>
    </row>
    <row r="828" spans="1:43">
      <c r="A828" s="715" t="s">
        <v>2454</v>
      </c>
      <c r="B828" s="2474" t="s">
        <v>2195</v>
      </c>
      <c r="C828" s="2474"/>
      <c r="D828" s="2474"/>
      <c r="E828" s="2474"/>
      <c r="F828" s="2474"/>
      <c r="G828" s="2474"/>
      <c r="H828" s="2474"/>
      <c r="I828" s="2474"/>
      <c r="J828" s="2474"/>
      <c r="K828" s="2474"/>
      <c r="L828" s="2474"/>
      <c r="M828" s="2474"/>
      <c r="N828" s="2474"/>
      <c r="O828" s="2474"/>
      <c r="P828" s="2474"/>
      <c r="Q828" s="2474"/>
      <c r="R828" s="2474"/>
      <c r="S828" s="2475"/>
      <c r="T828" s="2476">
        <f ca="1">AK108</f>
        <v>20</v>
      </c>
      <c r="U828" s="2477"/>
      <c r="V828" s="2477"/>
      <c r="W828" s="2477"/>
      <c r="X828" s="2477"/>
      <c r="Y828" s="2478"/>
      <c r="Z828" s="2479">
        <v>20</v>
      </c>
      <c r="AA828" s="2477"/>
      <c r="AB828" s="2477"/>
      <c r="AC828" s="2477"/>
      <c r="AD828" s="2477"/>
      <c r="AE828" s="2478"/>
      <c r="AF828" s="2472">
        <f ca="1">IF(T828&gt;Z828,Z828,T828)</f>
        <v>20</v>
      </c>
      <c r="AG828" s="2472"/>
      <c r="AH828" s="2472"/>
      <c r="AI828" s="2472"/>
      <c r="AJ828" s="2472"/>
      <c r="AK828" s="2472"/>
      <c r="AL828" s="714"/>
      <c r="AM828" s="494"/>
      <c r="AO828" s="712"/>
      <c r="AP828" s="712"/>
      <c r="AQ828" s="712"/>
    </row>
    <row r="829" spans="1:43">
      <c r="A829" s="715" t="s">
        <v>2598</v>
      </c>
      <c r="B829" s="2474" t="s">
        <v>2206</v>
      </c>
      <c r="C829" s="2474"/>
      <c r="D829" s="2474"/>
      <c r="E829" s="2474"/>
      <c r="F829" s="2474"/>
      <c r="G829" s="2474"/>
      <c r="H829" s="2474"/>
      <c r="I829" s="2474"/>
      <c r="J829" s="2474"/>
      <c r="K829" s="2474"/>
      <c r="L829" s="2474"/>
      <c r="M829" s="2474"/>
      <c r="N829" s="2474"/>
      <c r="O829" s="2474"/>
      <c r="P829" s="2474"/>
      <c r="Q829" s="2474"/>
      <c r="R829" s="2474"/>
      <c r="S829" s="2475"/>
      <c r="T829" s="2476">
        <f>AK142</f>
        <v>10</v>
      </c>
      <c r="U829" s="2477"/>
      <c r="V829" s="2477"/>
      <c r="W829" s="2477"/>
      <c r="X829" s="2477"/>
      <c r="Y829" s="2478"/>
      <c r="Z829" s="2479">
        <v>10</v>
      </c>
      <c r="AA829" s="2477"/>
      <c r="AB829" s="2477"/>
      <c r="AC829" s="2477"/>
      <c r="AD829" s="2477"/>
      <c r="AE829" s="2478"/>
      <c r="AF829" s="2472">
        <f>IF(T829&gt;Z829,Z829,T829)</f>
        <v>10</v>
      </c>
      <c r="AG829" s="2472"/>
      <c r="AH829" s="2472"/>
      <c r="AI829" s="2472"/>
      <c r="AJ829" s="2472"/>
      <c r="AK829" s="2472"/>
      <c r="AL829" s="714"/>
      <c r="AM829" s="494"/>
      <c r="AO829" s="712"/>
      <c r="AP829" s="712"/>
      <c r="AQ829" s="712"/>
    </row>
    <row r="830" spans="1:43">
      <c r="A830" s="716" t="s">
        <v>2599</v>
      </c>
      <c r="B830" s="2474" t="s">
        <v>2600</v>
      </c>
      <c r="C830" s="2474"/>
      <c r="D830" s="2474"/>
      <c r="E830" s="2474"/>
      <c r="F830" s="2474"/>
      <c r="G830" s="2474"/>
      <c r="H830" s="2474"/>
      <c r="I830" s="2474"/>
      <c r="J830" s="2474"/>
      <c r="K830" s="2474"/>
      <c r="L830" s="2474"/>
      <c r="M830" s="2474"/>
      <c r="N830" s="2474"/>
      <c r="O830" s="2474"/>
      <c r="P830" s="2474"/>
      <c r="Q830" s="2474"/>
      <c r="R830" s="2474"/>
      <c r="S830" s="2475"/>
      <c r="T830" s="2500">
        <f>SUM(T831:Y832)</f>
        <v>10</v>
      </c>
      <c r="U830" s="2500"/>
      <c r="V830" s="2500"/>
      <c r="W830" s="2500"/>
      <c r="X830" s="2500"/>
      <c r="Y830" s="2500"/>
      <c r="Z830" s="2472">
        <v>10</v>
      </c>
      <c r="AA830" s="2472"/>
      <c r="AB830" s="2472"/>
      <c r="AC830" s="2472"/>
      <c r="AD830" s="2472"/>
      <c r="AE830" s="2472"/>
      <c r="AF830" s="2472">
        <f>IF(T830&gt;Z830,Z830,T830)</f>
        <v>10</v>
      </c>
      <c r="AG830" s="2472"/>
      <c r="AH830" s="2472"/>
      <c r="AI830" s="2472"/>
      <c r="AJ830" s="2472"/>
      <c r="AK830" s="2472"/>
      <c r="AL830" s="714"/>
      <c r="AM830" s="494"/>
    </row>
    <row r="831" spans="1:43">
      <c r="A831" s="435"/>
      <c r="B831" s="499"/>
      <c r="C831" s="2501" t="s">
        <v>2601</v>
      </c>
      <c r="D831" s="2501"/>
      <c r="E831" s="2501"/>
      <c r="F831" s="2501"/>
      <c r="G831" s="2501"/>
      <c r="H831" s="2501"/>
      <c r="I831" s="2501"/>
      <c r="J831" s="2501"/>
      <c r="K831" s="2501"/>
      <c r="L831" s="2501"/>
      <c r="M831" s="2501"/>
      <c r="N831" s="2501"/>
      <c r="O831" s="2501"/>
      <c r="P831" s="2501"/>
      <c r="Q831" s="2501"/>
      <c r="R831" s="2501"/>
      <c r="S831" s="2502"/>
      <c r="T831" s="2393">
        <f>AJ165</f>
        <v>7</v>
      </c>
      <c r="U831" s="2393"/>
      <c r="V831" s="2393"/>
      <c r="W831" s="2393"/>
      <c r="X831" s="2393"/>
      <c r="Y831" s="2393"/>
      <c r="Z831" s="2394">
        <v>7</v>
      </c>
      <c r="AA831" s="2394"/>
      <c r="AB831" s="2394"/>
      <c r="AC831" s="2394"/>
      <c r="AD831" s="2394"/>
      <c r="AE831" s="2394"/>
      <c r="AF831" s="2503"/>
      <c r="AG831" s="2503"/>
      <c r="AH831" s="2503"/>
      <c r="AI831" s="2503"/>
      <c r="AJ831" s="2503"/>
      <c r="AK831" s="2503"/>
      <c r="AL831" s="714"/>
      <c r="AM831" s="494"/>
    </row>
    <row r="832" spans="1:43">
      <c r="A832" s="498"/>
      <c r="B832" s="499"/>
      <c r="C832" s="2501" t="s">
        <v>2023</v>
      </c>
      <c r="D832" s="2501"/>
      <c r="E832" s="2501"/>
      <c r="F832" s="2501"/>
      <c r="G832" s="2501"/>
      <c r="H832" s="2501"/>
      <c r="I832" s="2501"/>
      <c r="J832" s="2501"/>
      <c r="K832" s="2501"/>
      <c r="L832" s="2501"/>
      <c r="M832" s="2501"/>
      <c r="N832" s="2501"/>
      <c r="O832" s="2501"/>
      <c r="P832" s="2501"/>
      <c r="Q832" s="2501"/>
      <c r="R832" s="2501"/>
      <c r="S832" s="2502"/>
      <c r="T832" s="2393">
        <f>AJ179</f>
        <v>3</v>
      </c>
      <c r="U832" s="2393"/>
      <c r="V832" s="2393"/>
      <c r="W832" s="2393"/>
      <c r="X832" s="2393"/>
      <c r="Y832" s="2393"/>
      <c r="Z832" s="2394">
        <v>3</v>
      </c>
      <c r="AA832" s="2394"/>
      <c r="AB832" s="2394"/>
      <c r="AC832" s="2394"/>
      <c r="AD832" s="2394"/>
      <c r="AE832" s="2394"/>
      <c r="AF832" s="2503"/>
      <c r="AG832" s="2503"/>
      <c r="AH832" s="2503"/>
      <c r="AI832" s="2503"/>
      <c r="AJ832" s="2503"/>
      <c r="AK832" s="2503"/>
      <c r="AL832" s="714"/>
      <c r="AM832" s="494"/>
      <c r="AO832" s="449"/>
    </row>
    <row r="833" spans="1:81">
      <c r="A833" s="716" t="s">
        <v>2252</v>
      </c>
      <c r="B833" s="2474" t="s">
        <v>2602</v>
      </c>
      <c r="C833" s="2474"/>
      <c r="D833" s="2474"/>
      <c r="E833" s="2474"/>
      <c r="F833" s="2474"/>
      <c r="G833" s="2474"/>
      <c r="H833" s="2474"/>
      <c r="I833" s="2474"/>
      <c r="J833" s="2474"/>
      <c r="K833" s="2474"/>
      <c r="L833" s="2474"/>
      <c r="M833" s="2474"/>
      <c r="N833" s="2474"/>
      <c r="O833" s="2474"/>
      <c r="P833" s="2474"/>
      <c r="Q833" s="2474"/>
      <c r="R833" s="2474"/>
      <c r="S833" s="2475"/>
      <c r="T833" s="2500">
        <f>AK190</f>
        <v>10</v>
      </c>
      <c r="U833" s="2500"/>
      <c r="V833" s="2500"/>
      <c r="W833" s="2500"/>
      <c r="X833" s="2500"/>
      <c r="Y833" s="2500"/>
      <c r="Z833" s="2472">
        <v>10</v>
      </c>
      <c r="AA833" s="2472"/>
      <c r="AB833" s="2472"/>
      <c r="AC833" s="2472"/>
      <c r="AD833" s="2472"/>
      <c r="AE833" s="2472"/>
      <c r="AF833" s="2472">
        <f>IF(T833&gt;Z833,Z833,T833)</f>
        <v>10</v>
      </c>
      <c r="AG833" s="2472"/>
      <c r="AH833" s="2472"/>
      <c r="AI833" s="2472"/>
      <c r="AJ833" s="2472"/>
      <c r="AK833" s="2472"/>
      <c r="AL833" s="714"/>
      <c r="AM833" s="494"/>
    </row>
    <row r="834" spans="1:81" hidden="1">
      <c r="A834" s="715" t="s">
        <v>2262</v>
      </c>
      <c r="B834" s="2474" t="s">
        <v>2263</v>
      </c>
      <c r="C834" s="2474"/>
      <c r="D834" s="2474"/>
      <c r="E834" s="2474"/>
      <c r="F834" s="2474"/>
      <c r="G834" s="2474"/>
      <c r="H834" s="2474"/>
      <c r="I834" s="2474"/>
      <c r="J834" s="2474"/>
      <c r="K834" s="2474"/>
      <c r="L834" s="2474"/>
      <c r="M834" s="2474"/>
      <c r="N834" s="2474"/>
      <c r="O834" s="2474"/>
      <c r="P834" s="2474"/>
      <c r="Q834" s="2474"/>
      <c r="R834" s="2474"/>
      <c r="S834" s="2475"/>
      <c r="T834" s="2500">
        <f>AK272</f>
        <v>0</v>
      </c>
      <c r="U834" s="2500"/>
      <c r="V834" s="2500"/>
      <c r="W834" s="2500"/>
      <c r="X834" s="2500"/>
      <c r="Y834" s="2500"/>
      <c r="Z834" s="2479">
        <v>8</v>
      </c>
      <c r="AA834" s="2477"/>
      <c r="AB834" s="2477"/>
      <c r="AC834" s="2477"/>
      <c r="AD834" s="2477"/>
      <c r="AE834" s="2478"/>
      <c r="AF834" s="2472"/>
      <c r="AG834" s="2472"/>
      <c r="AH834" s="2472"/>
      <c r="AI834" s="2472"/>
      <c r="AJ834" s="2472"/>
      <c r="AK834" s="2472"/>
      <c r="AL834" s="714"/>
      <c r="AM834" s="494"/>
    </row>
    <row r="835" spans="1:81" s="434" customFormat="1" hidden="1">
      <c r="A835" s="716" t="s">
        <v>1025</v>
      </c>
      <c r="B835" s="2474" t="s">
        <v>2603</v>
      </c>
      <c r="C835" s="2474"/>
      <c r="D835" s="2474"/>
      <c r="E835" s="2474"/>
      <c r="F835" s="2474"/>
      <c r="G835" s="2474"/>
      <c r="H835" s="2474"/>
      <c r="I835" s="2474"/>
      <c r="J835" s="2474"/>
      <c r="K835" s="2474"/>
      <c r="L835" s="2474"/>
      <c r="M835" s="2474"/>
      <c r="N835" s="2474"/>
      <c r="O835" s="2474"/>
      <c r="P835" s="2474"/>
      <c r="Q835" s="2474"/>
      <c r="R835" s="2474"/>
      <c r="S835" s="2475"/>
      <c r="T835" s="2500">
        <f>IF(AK548&gt;5,5,AK548)</f>
        <v>0</v>
      </c>
      <c r="U835" s="2500"/>
      <c r="V835" s="2500"/>
      <c r="W835" s="2500"/>
      <c r="X835" s="2500"/>
      <c r="Y835" s="2500"/>
      <c r="Z835" s="2472">
        <v>5</v>
      </c>
      <c r="AA835" s="2472"/>
      <c r="AB835" s="2472"/>
      <c r="AC835" s="2472"/>
      <c r="AD835" s="2472"/>
      <c r="AE835" s="2472"/>
      <c r="AF835" s="2472"/>
      <c r="AG835" s="2472"/>
      <c r="AH835" s="2472"/>
      <c r="AI835" s="2472"/>
      <c r="AJ835" s="2472"/>
      <c r="AK835" s="2472"/>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4" t="str">
        <f>B275</f>
        <v>Readiness to Proceed</v>
      </c>
      <c r="C836" s="2474"/>
      <c r="D836" s="2474"/>
      <c r="E836" s="2474"/>
      <c r="F836" s="2474"/>
      <c r="G836" s="2474"/>
      <c r="H836" s="2474"/>
      <c r="I836" s="2474"/>
      <c r="J836" s="2474"/>
      <c r="K836" s="2474"/>
      <c r="L836" s="2474"/>
      <c r="M836" s="2474"/>
      <c r="N836" s="2474"/>
      <c r="O836" s="2474"/>
      <c r="P836" s="2474"/>
      <c r="Q836" s="2474"/>
      <c r="R836" s="2474"/>
      <c r="S836" s="2475"/>
      <c r="T836" s="2500">
        <f>AK298</f>
        <v>10</v>
      </c>
      <c r="U836" s="2500"/>
      <c r="V836" s="2500"/>
      <c r="W836" s="2500"/>
      <c r="X836" s="2500"/>
      <c r="Y836" s="2500"/>
      <c r="Z836" s="2472">
        <v>10</v>
      </c>
      <c r="AA836" s="2472"/>
      <c r="AB836" s="2472"/>
      <c r="AC836" s="2472"/>
      <c r="AD836" s="2472"/>
      <c r="AE836" s="2472"/>
      <c r="AF836" s="2505">
        <f>IF(T836&gt;Z836,Z836,T836)</f>
        <v>10</v>
      </c>
      <c r="AG836" s="2506"/>
      <c r="AH836" s="2506"/>
      <c r="AI836" s="2506"/>
      <c r="AJ836" s="2506"/>
      <c r="AK836" s="2507"/>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4" t="str">
        <f>B301</f>
        <v>Access to Opportunity</v>
      </c>
      <c r="C837" s="2474"/>
      <c r="D837" s="2474"/>
      <c r="E837" s="2474"/>
      <c r="F837" s="2474"/>
      <c r="G837" s="2474"/>
      <c r="H837" s="2474"/>
      <c r="I837" s="2474"/>
      <c r="J837" s="2474"/>
      <c r="K837" s="2474"/>
      <c r="L837" s="2474"/>
      <c r="M837" s="2474"/>
      <c r="N837" s="2474"/>
      <c r="O837" s="2474"/>
      <c r="P837" s="2474"/>
      <c r="Q837" s="2474"/>
      <c r="R837" s="2474"/>
      <c r="S837" s="2475"/>
      <c r="T837" s="2500">
        <f>AK351</f>
        <v>9</v>
      </c>
      <c r="U837" s="2500"/>
      <c r="V837" s="2500"/>
      <c r="W837" s="2500"/>
      <c r="X837" s="2500"/>
      <c r="Y837" s="2500"/>
      <c r="Z837" s="2505">
        <v>10</v>
      </c>
      <c r="AA837" s="2506"/>
      <c r="AB837" s="2506"/>
      <c r="AC837" s="2506"/>
      <c r="AD837" s="2506"/>
      <c r="AE837" s="2507"/>
      <c r="AF837" s="2505">
        <f>IF(T837&gt;Z837,Z837,T837)</f>
        <v>9</v>
      </c>
      <c r="AG837" s="2506"/>
      <c r="AH837" s="2506"/>
      <c r="AI837" s="2506"/>
      <c r="AJ837" s="2506"/>
      <c r="AK837" s="2507"/>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2604</v>
      </c>
      <c r="D838" s="719"/>
      <c r="E838" s="719"/>
      <c r="F838" s="719"/>
      <c r="G838" s="719"/>
      <c r="H838" s="719"/>
      <c r="I838" s="719"/>
      <c r="J838" s="719"/>
      <c r="K838" s="719"/>
      <c r="L838" s="719"/>
      <c r="M838" s="719"/>
      <c r="N838" s="719"/>
      <c r="O838" s="719"/>
      <c r="P838" s="719"/>
      <c r="Q838" s="719"/>
      <c r="R838" s="717"/>
      <c r="S838" s="720"/>
      <c r="T838" s="2393">
        <f>AK351</f>
        <v>9</v>
      </c>
      <c r="U838" s="2393"/>
      <c r="V838" s="2393"/>
      <c r="W838" s="2393"/>
      <c r="X838" s="2393"/>
      <c r="Y838" s="2393"/>
      <c r="Z838" s="2404">
        <v>20</v>
      </c>
      <c r="AA838" s="2405"/>
      <c r="AB838" s="2405"/>
      <c r="AC838" s="2405"/>
      <c r="AD838" s="2405"/>
      <c r="AE838" s="2406"/>
      <c r="AF838" s="2503"/>
      <c r="AG838" s="2503"/>
      <c r="AH838" s="2503"/>
      <c r="AI838" s="2503"/>
      <c r="AJ838" s="2503"/>
      <c r="AK838" s="2503"/>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4" t="s">
        <v>2349</v>
      </c>
      <c r="C839" s="2474"/>
      <c r="D839" s="2474"/>
      <c r="E839" s="2474"/>
      <c r="F839" s="2474"/>
      <c r="G839" s="2474"/>
      <c r="H839" s="2474"/>
      <c r="I839" s="2474"/>
      <c r="J839" s="2474"/>
      <c r="K839" s="2474"/>
      <c r="L839" s="2474"/>
      <c r="M839" s="2474"/>
      <c r="N839" s="2474"/>
      <c r="O839" s="2474"/>
      <c r="P839" s="2474"/>
      <c r="Q839" s="2474"/>
      <c r="R839" s="2474"/>
      <c r="S839" s="2475"/>
      <c r="T839" s="2500">
        <f>AK482</f>
        <v>10</v>
      </c>
      <c r="U839" s="2500"/>
      <c r="V839" s="2500"/>
      <c r="W839" s="2500"/>
      <c r="X839" s="2500"/>
      <c r="Y839" s="2500"/>
      <c r="Z839" s="2505">
        <v>10</v>
      </c>
      <c r="AA839" s="2506"/>
      <c r="AB839" s="2506"/>
      <c r="AC839" s="2506"/>
      <c r="AD839" s="2506"/>
      <c r="AE839" s="2507"/>
      <c r="AF839" s="2472">
        <f>IF(T839&gt;Z839,Z839,T839)</f>
        <v>10</v>
      </c>
      <c r="AG839" s="2472"/>
      <c r="AH839" s="2472"/>
      <c r="AI839" s="2472"/>
      <c r="AJ839" s="2472"/>
      <c r="AK839" s="2472"/>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4" t="s">
        <v>2465</v>
      </c>
      <c r="C840" s="2474"/>
      <c r="D840" s="2474"/>
      <c r="E840" s="2474"/>
      <c r="F840" s="2474"/>
      <c r="G840" s="2474"/>
      <c r="H840" s="2474"/>
      <c r="I840" s="2474"/>
      <c r="J840" s="2474"/>
      <c r="K840" s="2474"/>
      <c r="L840" s="2474"/>
      <c r="M840" s="2474"/>
      <c r="N840" s="2474"/>
      <c r="O840" s="2474"/>
      <c r="P840" s="2474"/>
      <c r="Q840" s="2474"/>
      <c r="R840" s="2474"/>
      <c r="S840" s="2475"/>
      <c r="T840" s="2500">
        <f>AK572</f>
        <v>12</v>
      </c>
      <c r="U840" s="2500"/>
      <c r="V840" s="2500"/>
      <c r="W840" s="2500"/>
      <c r="X840" s="2500"/>
      <c r="Y840" s="2500"/>
      <c r="Z840" s="2505">
        <v>12</v>
      </c>
      <c r="AA840" s="2506"/>
      <c r="AB840" s="2506"/>
      <c r="AC840" s="2506"/>
      <c r="AD840" s="2506"/>
      <c r="AE840" s="2507"/>
      <c r="AF840" s="2472">
        <f>IF(T840&gt;Z840,Z840,T840)</f>
        <v>12</v>
      </c>
      <c r="AG840" s="2472"/>
      <c r="AH840" s="2472"/>
      <c r="AI840" s="2472"/>
      <c r="AJ840" s="2472"/>
      <c r="AK840" s="2472"/>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4" t="s">
        <v>2605</v>
      </c>
      <c r="C841" s="2474"/>
      <c r="D841" s="2474"/>
      <c r="E841" s="2474"/>
      <c r="F841" s="2474"/>
      <c r="G841" s="2474"/>
      <c r="H841" s="2474"/>
      <c r="I841" s="2474"/>
      <c r="J841" s="2474"/>
      <c r="K841" s="2474"/>
      <c r="L841" s="2474"/>
      <c r="M841" s="2474"/>
      <c r="N841" s="2474"/>
      <c r="O841" s="2474"/>
      <c r="P841" s="2474"/>
      <c r="Q841" s="2474"/>
      <c r="R841" s="2474"/>
      <c r="S841" s="2475"/>
      <c r="T841" s="2500">
        <f>AK816</f>
        <v>10</v>
      </c>
      <c r="U841" s="2500"/>
      <c r="V841" s="2500"/>
      <c r="W841" s="2500"/>
      <c r="X841" s="2500"/>
      <c r="Y841" s="2500"/>
      <c r="Z841" s="2505">
        <v>10</v>
      </c>
      <c r="AA841" s="2506"/>
      <c r="AB841" s="2506"/>
      <c r="AC841" s="2506"/>
      <c r="AD841" s="2506"/>
      <c r="AE841" s="2507"/>
      <c r="AF841" s="2472">
        <f>IF(T841&gt;Z841,Z841,T841)</f>
        <v>10</v>
      </c>
      <c r="AG841" s="2472"/>
      <c r="AH841" s="2472"/>
      <c r="AI841" s="2472"/>
      <c r="AJ841" s="2472"/>
      <c r="AK841" s="2472"/>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2606</v>
      </c>
      <c r="B842" s="596" t="s">
        <v>2607</v>
      </c>
      <c r="C842" s="596"/>
      <c r="D842" s="596"/>
      <c r="E842" s="596"/>
      <c r="F842" s="596"/>
      <c r="G842" s="596"/>
      <c r="H842" s="596"/>
      <c r="I842" s="596"/>
      <c r="J842" s="596"/>
      <c r="K842" s="596"/>
      <c r="L842" s="596"/>
      <c r="M842" s="596"/>
      <c r="N842" s="596"/>
      <c r="O842" s="596"/>
      <c r="P842" s="596"/>
      <c r="Q842" s="596"/>
      <c r="R842" s="596"/>
      <c r="S842" s="1089"/>
      <c r="T842" s="2504"/>
      <c r="U842" s="2504"/>
      <c r="V842" s="2504"/>
      <c r="W842" s="2504"/>
      <c r="X842" s="2504"/>
      <c r="Y842" s="2504"/>
      <c r="Z842" s="2394" t="s">
        <v>2608</v>
      </c>
      <c r="AA842" s="2394"/>
      <c r="AB842" s="2394"/>
      <c r="AC842" s="2394"/>
      <c r="AD842" s="2394"/>
      <c r="AE842" s="2394"/>
      <c r="AF842" s="2505">
        <f>ABS(T842)</f>
        <v>0</v>
      </c>
      <c r="AG842" s="2506"/>
      <c r="AH842" s="2506"/>
      <c r="AI842" s="2506"/>
      <c r="AJ842" s="2506"/>
      <c r="AK842" s="2507"/>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508" t="s">
        <v>2609</v>
      </c>
      <c r="B843" s="2509"/>
      <c r="C843" s="2509"/>
      <c r="D843" s="2509"/>
      <c r="E843" s="2509"/>
      <c r="F843" s="2509"/>
      <c r="G843" s="2509"/>
      <c r="H843" s="2509"/>
      <c r="I843" s="2509"/>
      <c r="J843" s="2509"/>
      <c r="K843" s="2509"/>
      <c r="L843" s="2509"/>
      <c r="M843" s="2509"/>
      <c r="N843" s="2509"/>
      <c r="O843" s="2509"/>
      <c r="P843" s="2509"/>
      <c r="Q843" s="2509"/>
      <c r="R843" s="2509"/>
      <c r="S843" s="2509"/>
      <c r="T843" s="2509"/>
      <c r="U843" s="2509"/>
      <c r="V843" s="2509"/>
      <c r="W843" s="2509"/>
      <c r="X843" s="2509"/>
      <c r="Y843" s="2509"/>
      <c r="Z843" s="2509"/>
      <c r="AA843" s="2509"/>
      <c r="AB843" s="2509"/>
      <c r="AC843" s="2509"/>
      <c r="AD843" s="2509"/>
      <c r="AE843" s="2510"/>
      <c r="AF843" s="2514">
        <f ca="1">SUM(AF826:AK841)-AF842</f>
        <v>111</v>
      </c>
      <c r="AG843" s="2515"/>
      <c r="AH843" s="2515"/>
      <c r="AI843" s="2515"/>
      <c r="AJ843" s="2515"/>
      <c r="AK843" s="2516"/>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511"/>
      <c r="B844" s="2512"/>
      <c r="C844" s="2512"/>
      <c r="D844" s="2512"/>
      <c r="E844" s="2512"/>
      <c r="F844" s="2512"/>
      <c r="G844" s="2512"/>
      <c r="H844" s="2512"/>
      <c r="I844" s="2512"/>
      <c r="J844" s="2512"/>
      <c r="K844" s="2512"/>
      <c r="L844" s="2512"/>
      <c r="M844" s="2512"/>
      <c r="N844" s="2512"/>
      <c r="O844" s="2512"/>
      <c r="P844" s="2512"/>
      <c r="Q844" s="2512"/>
      <c r="R844" s="2512"/>
      <c r="S844" s="2512"/>
      <c r="T844" s="2512"/>
      <c r="U844" s="2512"/>
      <c r="V844" s="2512"/>
      <c r="W844" s="2512"/>
      <c r="X844" s="2512"/>
      <c r="Y844" s="2512"/>
      <c r="Z844" s="2512"/>
      <c r="AA844" s="2512"/>
      <c r="AB844" s="2512"/>
      <c r="AC844" s="2512"/>
      <c r="AD844" s="2512"/>
      <c r="AE844" s="2513"/>
      <c r="AF844" s="2517"/>
      <c r="AG844" s="2518"/>
      <c r="AH844" s="2518"/>
      <c r="AI844" s="2518"/>
      <c r="AJ844" s="2518"/>
      <c r="AK844" s="2519"/>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lowMerge xmlns="df676585-4996-4b41-a86e-64013e6bb341" xsi:nil="true"/>
    <IncludeDoc xmlns="df676585-4996-4b41-a86e-64013e6bb341">false</IncludeDo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8d257eed-2230-4794-a0a4-0a3004274d28"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10" ma:contentTypeDescription="Create a new document." ma:contentTypeScope="" ma:versionID="89ce817111219fbef727116070b81675">
  <xsd:schema xmlns:xsd="http://www.w3.org/2001/XMLSchema" xmlns:xs="http://www.w3.org/2001/XMLSchema" xmlns:p="http://schemas.microsoft.com/office/2006/metadata/properties" xmlns:ns2="df676585-4996-4b41-a86e-64013e6bb341" xmlns:ns3="9366657d-f4db-4e92-8c83-b5bcafcbec9d" targetNamespace="http://schemas.microsoft.com/office/2006/metadata/properties" ma:root="true" ma:fieldsID="a22f06e5a557f9dae1068cac4b3e04ad" ns2:_="" ns3:_="">
    <xsd:import namespace="df676585-4996-4b41-a86e-64013e6bb341"/>
    <xsd:import namespace="9366657d-f4db-4e92-8c83-b5bcafcbec9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9EA34A-6D0B-435B-9DFB-2D27C5214CDD}">
  <ds:schemaRefs>
    <ds:schemaRef ds:uri="http://schemas.microsoft.com/office/2006/metadata/properties"/>
    <ds:schemaRef ds:uri="http://schemas.microsoft.com/office/infopath/2007/PartnerControls"/>
    <ds:schemaRef ds:uri="df676585-4996-4b41-a86e-64013e6bb341"/>
  </ds:schemaRefs>
</ds:datastoreItem>
</file>

<file path=customXml/itemProps2.xml><?xml version="1.0" encoding="utf-8"?>
<ds:datastoreItem xmlns:ds="http://schemas.openxmlformats.org/officeDocument/2006/customXml" ds:itemID="{2227AC1C-0A31-4FED-A6DD-FB8396BBF119}">
  <ds:schemaRefs>
    <ds:schemaRef ds:uri="http://schemas.microsoft.com/sharepoint/v3/contenttype/forms"/>
  </ds:schemaRefs>
</ds:datastoreItem>
</file>

<file path=customXml/itemProps3.xml><?xml version="1.0" encoding="utf-8"?>
<ds:datastoreItem xmlns:ds="http://schemas.openxmlformats.org/officeDocument/2006/customXml" ds:itemID="{DB6ECABA-CD32-4C59-B099-FC12070D1E47}">
  <ds:schemaRefs>
    <ds:schemaRef ds:uri="Microsoft.SharePoint.Taxonomy.ContentTypeSync"/>
  </ds:schemaRefs>
</ds:datastoreItem>
</file>

<file path=customXml/itemProps4.xml><?xml version="1.0" encoding="utf-8"?>
<ds:datastoreItem xmlns:ds="http://schemas.openxmlformats.org/officeDocument/2006/customXml" ds:itemID="{ED9AECB6-8C6C-408E-ADEA-2158AC3F0C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9366657d-f4db-4e92-8c83-b5bcafcbec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Michael Schaier</cp:lastModifiedBy>
  <cp:revision/>
  <dcterms:created xsi:type="dcterms:W3CDTF">2007-12-27T18:26:28Z</dcterms:created>
  <dcterms:modified xsi:type="dcterms:W3CDTF">2026-05-13T16:50:00Z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0x010100F767100AFDB62F4D8C5B29ABE003809A</vt:lpwstr>
  </property>
</Properties>
</file>